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drawings/drawing4.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comments4.xml" ContentType="application/vnd.openxmlformats-officedocument.spreadsheetml.comments+xml"/>
  <Override PartName="/xl/drawings/drawing10.xml" ContentType="application/vnd.openxmlformats-officedocument.drawing+xml"/>
  <Override PartName="/xl/ctrlProps/ctrlProp12.xml" ContentType="application/vnd.ms-excel.controlproperties+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charts/chart1.xml" ContentType="application/vnd.openxmlformats-officedocument.drawingml.chart+xml"/>
  <Override PartName="/xl/drawings/drawing12.xml" ContentType="application/vnd.openxmlformats-officedocument.drawing+xml"/>
  <Override PartName="/xl/ctrlProps/ctrlProp13.xml" ContentType="application/vnd.ms-excel.controlproperties+xml"/>
  <Override PartName="/xl/comments7.xml" ContentType="application/vnd.openxmlformats-officedocument.spreadsheetml.comments+xml"/>
  <Override PartName="/xl/charts/chart2.xml" ContentType="application/vnd.openxmlformats-officedocument.drawingml.chart+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embeddings/oleObject9.bin" ContentType="application/vnd.openxmlformats-officedocument.oleObject"/>
  <Override PartName="/xl/charts/chart3.xml" ContentType="application/vnd.openxmlformats-officedocument.drawingml.chart+xml"/>
  <Override PartName="/xl/charts/chart4.xml" ContentType="application/vnd.openxmlformats-officedocument.drawingml.chart+xml"/>
  <Override PartName="/xl/drawings/drawing16.xml" ContentType="application/vnd.openxmlformats-officedocument.drawing+xml"/>
  <Override PartName="/xl/ctrlProps/ctrlProp14.xml" ContentType="application/vnd.ms-excel.controlproperties+xml"/>
  <Override PartName="/xl/comments9.xml" ContentType="application/vnd.openxmlformats-officedocument.spreadsheetml.comments+xml"/>
  <Override PartName="/xl/drawings/drawing17.xml" ContentType="application/vnd.openxmlformats-officedocument.drawing+xml"/>
  <Override PartName="/xl/embeddings/oleObject10.bin" ContentType="application/vnd.openxmlformats-officedocument.oleObject"/>
  <Override PartName="/xl/ctrlProps/ctrlProp15.xml" ContentType="application/vnd.ms-excel.controlproperties+xml"/>
  <Override PartName="/xl/ctrlProps/ctrlProp16.xml" ContentType="application/vnd.ms-excel.controlproperties+xml"/>
  <Override PartName="/xl/comments10.xml" ContentType="application/vnd.openxmlformats-officedocument.spreadsheetml.comments+xml"/>
  <Override PartName="/xl/drawings/drawing18.xml" ContentType="application/vnd.openxmlformats-officedocument.drawing+xml"/>
  <Override PartName="/xl/embeddings/oleObject11.bin" ContentType="application/vnd.openxmlformats-officedocument.oleObject"/>
  <Override PartName="/xl/comments11.xml" ContentType="application/vnd.openxmlformats-officedocument.spreadsheetml.comments+xml"/>
  <Override PartName="/xl/drawings/drawing19.xml" ContentType="application/vnd.openxmlformats-officedocument.drawing+xml"/>
  <Override PartName="/xl/embeddings/oleObject12.bin" ContentType="application/vnd.openxmlformats-officedocument.oleObject"/>
  <Override PartName="/xl/comments12.xml" ContentType="application/vnd.openxmlformats-officedocument.spreadsheetml.comments+xml"/>
  <Override PartName="/xl/drawings/drawing20.xml" ContentType="application/vnd.openxmlformats-officedocument.drawing+xml"/>
  <Override PartName="/xl/embeddings/oleObject13.bin" ContentType="application/vnd.openxmlformats-officedocument.oleObject"/>
  <Override PartName="/xl/comments13.xml" ContentType="application/vnd.openxmlformats-officedocument.spreadsheetml.comments+xml"/>
  <Override PartName="/xl/drawings/drawing21.xml" ContentType="application/vnd.openxmlformats-officedocument.drawing+xml"/>
  <Override PartName="/xl/embeddings/oleObject14.bin" ContentType="application/vnd.openxmlformats-officedocument.oleObject"/>
  <Override PartName="/xl/comments14.xml" ContentType="application/vnd.openxmlformats-officedocument.spreadsheetml.comments+xml"/>
  <Override PartName="/xl/drawings/drawing22.xml" ContentType="application/vnd.openxmlformats-officedocument.drawing+xml"/>
  <Override PartName="/xl/comments15.xml" ContentType="application/vnd.openxmlformats-officedocument.spreadsheetml.comments+xml"/>
  <Override PartName="/xl/drawings/drawing23.xml" ContentType="application/vnd.openxmlformats-officedocument.drawing+xml"/>
  <Override PartName="/xl/comments16.xml" ContentType="application/vnd.openxmlformats-officedocument.spreadsheetml.comments+xml"/>
  <Override PartName="/xl/drawings/drawing24.xml" ContentType="application/vnd.openxmlformats-officedocument.drawing+xml"/>
  <Override PartName="/xl/comments17.xml" ContentType="application/vnd.openxmlformats-officedocument.spreadsheetml.comments+xml"/>
  <Override PartName="/xl/drawings/drawing25.xml" ContentType="application/vnd.openxmlformats-officedocument.drawing+xml"/>
  <Override PartName="/xl/comments18.xml" ContentType="application/vnd.openxmlformats-officedocument.spreadsheetml.comments+xml"/>
  <Override PartName="/xl/drawings/drawing26.xml" ContentType="application/vnd.openxmlformats-officedocument.drawing+xml"/>
  <Override PartName="/xl/comments19.xml" ContentType="application/vnd.openxmlformats-officedocument.spreadsheetml.comments+xml"/>
  <Override PartName="/xl/drawings/drawing27.xml" ContentType="application/vnd.openxmlformats-officedocument.drawing+xml"/>
  <Override PartName="/xl/comments20.xml" ContentType="application/vnd.openxmlformats-officedocument.spreadsheetml.comments+xml"/>
  <Override PartName="/xl/drawings/drawing28.xml" ContentType="application/vnd.openxmlformats-officedocument.drawing+xml"/>
  <Override PartName="/xl/comments21.xml" ContentType="application/vnd.openxmlformats-officedocument.spreadsheetml.comments+xml"/>
  <Override PartName="/xl/comments22.xml" ContentType="application/vnd.openxmlformats-officedocument.spreadsheetml.comments+xml"/>
  <Override PartName="/xl/drawings/drawing29.xml" ContentType="application/vnd.openxmlformats-officedocument.drawing+xml"/>
  <Override PartName="/xl/comments23.xml" ContentType="application/vnd.openxmlformats-officedocument.spreadsheetml.comments+xml"/>
  <Override PartName="/xl/drawings/drawing30.xml" ContentType="application/vnd.openxmlformats-officedocument.drawing+xml"/>
  <Override PartName="/xl/embeddings/oleObject15.bin" ContentType="application/vnd.openxmlformats-officedocument.oleObject"/>
  <Override PartName="/xl/comments24.xml" ContentType="application/vnd.openxmlformats-officedocument.spreadsheetml.comments+xml"/>
  <Override PartName="/xl/drawings/drawing31.xml" ContentType="application/vnd.openxmlformats-officedocument.drawing+xml"/>
  <Override PartName="/xl/drawings/drawing32.xml" ContentType="application/vnd.openxmlformats-officedocument.drawing+xml"/>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comments25.xml" ContentType="application/vnd.openxmlformats-officedocument.spreadsheetml.comments+xml"/>
  <Override PartName="/xl/drawings/drawing33.xml" ContentType="application/vnd.openxmlformats-officedocument.drawing+xml"/>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comments26.xml" ContentType="application/vnd.openxmlformats-officedocument.spreadsheetml.comments+xml"/>
  <Override PartName="/xl/drawings/drawing34.xml" ContentType="application/vnd.openxmlformats-officedocument.drawing+xml"/>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comments27.xml" ContentType="application/vnd.openxmlformats-officedocument.spreadsheetml.comments+xml"/>
  <Override PartName="/xl/drawings/drawing35.xml" ContentType="application/vnd.openxmlformats-officedocument.drawing+xml"/>
  <Override PartName="/xl/ctrlProps/ctrlProp17.xml" ContentType="application/vnd.ms-excel.controlproperties+xml"/>
  <Override PartName="/xl/comments28.xml" ContentType="application/vnd.openxmlformats-officedocument.spreadsheetml.comments+xml"/>
  <Override PartName="/xl/charts/chart5.xml" ContentType="application/vnd.openxmlformats-officedocument.drawingml.chart+xml"/>
  <Override PartName="/xl/drawings/drawing36.xml" ContentType="application/vnd.openxmlformats-officedocument.drawing+xml"/>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comments29.xml" ContentType="application/vnd.openxmlformats-officedocument.spreadsheetml.comments+xml"/>
  <Override PartName="/xl/drawings/drawing37.xml" ContentType="application/vnd.openxmlformats-officedocument.drawing+xml"/>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comments30.xml" ContentType="application/vnd.openxmlformats-officedocument.spreadsheetml.comments+xml"/>
  <Override PartName="/xl/drawings/drawing38.xml" ContentType="application/vnd.openxmlformats-officedocument.drawing+xml"/>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comments31.xml" ContentType="application/vnd.openxmlformats-officedocument.spreadsheetml.comments+xml"/>
  <Override PartName="/xl/drawings/drawing39.xml" ContentType="application/vnd.openxmlformats-officedocument.drawing+xml"/>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comments32.xml" ContentType="application/vnd.openxmlformats-officedocument.spreadsheetml.comments+xml"/>
  <Override PartName="/xl/drawings/drawing40.xml" ContentType="application/vnd.openxmlformats-officedocument.drawing+xml"/>
  <Override PartName="/xl/embeddings/oleObject44.bin" ContentType="application/vnd.openxmlformats-officedocument.oleObject"/>
  <Override PartName="/xl/embeddings/oleObject45.bin" ContentType="application/vnd.openxmlformats-officedocument.oleObject"/>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comments33.xml" ContentType="application/vnd.openxmlformats-officedocument.spreadsheetml.comments+xml"/>
  <Override PartName="/xl/drawings/drawing41.xml" ContentType="application/vnd.openxmlformats-officedocument.drawing+xml"/>
  <Override PartName="/xl/embeddings/oleObject49.bin" ContentType="application/vnd.openxmlformats-officedocument.oleObject"/>
  <Override PartName="/xl/embeddings/oleObject50.bin" ContentType="application/vnd.openxmlformats-officedocument.oleObject"/>
  <Override PartName="/xl/embeddings/oleObject51.bin" ContentType="application/vnd.openxmlformats-officedocument.oleObject"/>
  <Override PartName="/xl/embeddings/oleObject52.bin" ContentType="application/vnd.openxmlformats-officedocument.oleObject"/>
  <Override PartName="/xl/embeddings/oleObject53.bin" ContentType="application/vnd.openxmlformats-officedocument.oleObject"/>
  <Override PartName="/xl/embeddings/oleObject54.bin" ContentType="application/vnd.openxmlformats-officedocument.oleObject"/>
  <Override PartName="/xl/comments34.xml" ContentType="application/vnd.openxmlformats-officedocument.spreadsheetml.comments+xml"/>
  <Override PartName="/xl/drawings/drawing42.xml" ContentType="application/vnd.openxmlformats-officedocument.drawing+xml"/>
  <Override PartName="/xl/embeddings/oleObject55.bin" ContentType="application/vnd.openxmlformats-officedocument.oleObject"/>
  <Override PartName="/xl/embeddings/oleObject56.bin" ContentType="application/vnd.openxmlformats-officedocument.oleObject"/>
  <Override PartName="/xl/embeddings/oleObject57.bin" ContentType="application/vnd.openxmlformats-officedocument.oleObject"/>
  <Override PartName="/xl/embeddings/oleObject58.bin" ContentType="application/vnd.openxmlformats-officedocument.oleObject"/>
  <Override PartName="/xl/embeddings/oleObject59.bin" ContentType="application/vnd.openxmlformats-officedocument.oleObject"/>
  <Override PartName="/xl/comments35.xml" ContentType="application/vnd.openxmlformats-officedocument.spreadsheetml.comments+xml"/>
  <Override PartName="/xl/drawings/drawing43.xml" ContentType="application/vnd.openxmlformats-officedocument.drawing+xml"/>
  <Override PartName="/xl/embeddings/oleObject60.bin" ContentType="application/vnd.openxmlformats-officedocument.oleObject"/>
  <Override PartName="/xl/embeddings/oleObject61.bin" ContentType="application/vnd.openxmlformats-officedocument.oleObject"/>
  <Override PartName="/xl/embeddings/oleObject62.bin" ContentType="application/vnd.openxmlformats-officedocument.oleObject"/>
  <Override PartName="/xl/embeddings/oleObject63.bin" ContentType="application/vnd.openxmlformats-officedocument.oleObject"/>
  <Override PartName="/xl/embeddings/oleObject64.bin" ContentType="application/vnd.openxmlformats-officedocument.oleObject"/>
  <Override PartName="/xl/embeddings/oleObject65.bin" ContentType="application/vnd.openxmlformats-officedocument.oleObject"/>
  <Override PartName="/xl/comments36.xml" ContentType="application/vnd.openxmlformats-officedocument.spreadsheetml.comments+xml"/>
  <Override PartName="/xl/drawings/drawing44.xml" ContentType="application/vnd.openxmlformats-officedocument.drawing+xml"/>
  <Override PartName="/xl/embeddings/oleObject66.bin" ContentType="application/vnd.openxmlformats-officedocument.oleObject"/>
  <Override PartName="/xl/embeddings/oleObject67.bin" ContentType="application/vnd.openxmlformats-officedocument.oleObject"/>
  <Override PartName="/xl/embeddings/oleObject68.bin" ContentType="application/vnd.openxmlformats-officedocument.oleObject"/>
  <Override PartName="/xl/embeddings/oleObject69.bin" ContentType="application/vnd.openxmlformats-officedocument.oleObject"/>
  <Override PartName="/xl/comments37.xml" ContentType="application/vnd.openxmlformats-officedocument.spreadsheetml.comments+xml"/>
  <Override PartName="/xl/drawings/drawing45.xml" ContentType="application/vnd.openxmlformats-officedocument.drawing+xml"/>
  <Override PartName="/xl/ctrlProps/ctrlProp18.xml" ContentType="application/vnd.ms-excel.controlproperties+xml"/>
  <Override PartName="/xl/comments38.xml" ContentType="application/vnd.openxmlformats-officedocument.spreadsheetml.comments+xml"/>
  <Override PartName="/xl/drawings/drawing46.xml" ContentType="application/vnd.openxmlformats-officedocument.drawing+xml"/>
  <Override PartName="/xl/embeddings/oleObject70.bin" ContentType="application/vnd.openxmlformats-officedocument.oleObject"/>
  <Override PartName="/xl/embeddings/oleObject71.bin" ContentType="application/vnd.openxmlformats-officedocument.oleObject"/>
  <Override PartName="/xl/embeddings/oleObject72.bin" ContentType="application/vnd.openxmlformats-officedocument.oleObject"/>
  <Override PartName="/xl/embeddings/oleObject73.bin" ContentType="application/vnd.openxmlformats-officedocument.oleObject"/>
  <Override PartName="/xl/embeddings/oleObject74.bin" ContentType="application/vnd.openxmlformats-officedocument.oleObject"/>
  <Override PartName="/xl/comments39.xml" ContentType="application/vnd.openxmlformats-officedocument.spreadsheetml.comments+xml"/>
  <Override PartName="/xl/drawings/drawing47.xml" ContentType="application/vnd.openxmlformats-officedocument.drawing+xml"/>
  <Override PartName="/xl/embeddings/oleObject75.bin" ContentType="application/vnd.openxmlformats-officedocument.oleObject"/>
  <Override PartName="/xl/embeddings/oleObject76.bin" ContentType="application/vnd.openxmlformats-officedocument.oleObject"/>
  <Override PartName="/xl/embeddings/oleObject77.bin" ContentType="application/vnd.openxmlformats-officedocument.oleObject"/>
  <Override PartName="/xl/embeddings/oleObject78.bin" ContentType="application/vnd.openxmlformats-officedocument.oleObject"/>
  <Override PartName="/xl/comments40.xml" ContentType="application/vnd.openxmlformats-officedocument.spreadsheetml.comments+xml"/>
  <Override PartName="/xl/drawings/drawing4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bookViews>
    <workbookView xWindow="367" yWindow="14" windowWidth="11602" windowHeight="7675" tabRatio="928" firstSheet="2" activeTab="40"/>
  </bookViews>
  <sheets>
    <sheet name="MP" sheetId="32" r:id="rId1"/>
    <sheet name="M1" sheetId="33" r:id="rId2"/>
    <sheet name="M2" sheetId="35" r:id="rId3"/>
    <sheet name="M3" sheetId="18" r:id="rId4"/>
    <sheet name="M4" sheetId="53" r:id="rId5"/>
    <sheet name="BOIS" sheetId="83" r:id="rId6"/>
    <sheet name="4-1" sheetId="55" r:id="rId7"/>
    <sheet name="4-2" sheetId="56" r:id="rId8"/>
    <sheet name="4-3" sheetId="58" r:id="rId9"/>
    <sheet name="4-4" sheetId="59" r:id="rId10"/>
    <sheet name="4-5" sheetId="89" r:id="rId11"/>
    <sheet name="4-6" sheetId="61" r:id="rId12"/>
    <sheet name="4-7" sheetId="62" r:id="rId13"/>
    <sheet name="0" sheetId="51" r:id="rId14"/>
    <sheet name="1" sheetId="9" r:id="rId15"/>
    <sheet name="2" sheetId="25" r:id="rId16"/>
    <sheet name="3" sheetId="10" r:id="rId17"/>
    <sheet name="4" sheetId="12" r:id="rId18"/>
    <sheet name="5" sheetId="31" r:id="rId19"/>
    <sheet name="6" sheetId="29" r:id="rId20"/>
    <sheet name="7" sheetId="11" r:id="rId21"/>
    <sheet name="8" sheetId="13" r:id="rId22"/>
    <sheet name="9" sheetId="5" r:id="rId23"/>
    <sheet name="10" sheetId="2" r:id="rId24"/>
    <sheet name="11" sheetId="3" r:id="rId25"/>
    <sheet name="12" sheetId="6" r:id="rId26"/>
    <sheet name="13" sheetId="7" r:id="rId27"/>
    <sheet name="14" sheetId="8" r:id="rId28"/>
    <sheet name="15" sheetId="22" r:id="rId29"/>
    <sheet name="16" sheetId="23" r:id="rId30"/>
    <sheet name="17" sheetId="15" r:id="rId31"/>
    <sheet name="18" sheetId="16" r:id="rId32"/>
    <sheet name="19" sheetId="26" r:id="rId33"/>
    <sheet name="20" sheetId="17" r:id="rId34"/>
    <sheet name="21" sheetId="19" r:id="rId35"/>
    <sheet name="22" sheetId="20" r:id="rId36"/>
    <sheet name="23" sheetId="24" r:id="rId37"/>
    <sheet name="24" sheetId="30" r:id="rId38"/>
    <sheet name="25" sheetId="4" r:id="rId39"/>
    <sheet name="26" sheetId="36" r:id="rId40"/>
    <sheet name="27" sheetId="37" r:id="rId41"/>
    <sheet name="28" sheetId="38" r:id="rId42"/>
    <sheet name="29" sheetId="40" r:id="rId43"/>
    <sheet name="30" sheetId="39" r:id="rId44"/>
    <sheet name="31" sheetId="41" r:id="rId45"/>
    <sheet name="32" sheetId="42" r:id="rId46"/>
    <sheet name="33" sheetId="43" r:id="rId47"/>
    <sheet name="34" sheetId="45" r:id="rId48"/>
    <sheet name="35a" sheetId="46" r:id="rId49"/>
    <sheet name="35" sheetId="91" r:id="rId50"/>
    <sheet name="36" sheetId="92" r:id="rId51"/>
    <sheet name="36a" sheetId="47" r:id="rId52"/>
    <sheet name="37" sheetId="48" r:id="rId53"/>
    <sheet name="38" sheetId="49" r:id="rId54"/>
    <sheet name="39" sheetId="50" r:id="rId55"/>
    <sheet name="40" sheetId="52" r:id="rId56"/>
    <sheet name="41" sheetId="90" r:id="rId57"/>
    <sheet name="Planchers composés" sheetId="27" r:id="rId58"/>
  </sheets>
  <externalReferences>
    <externalReference r:id="rId59"/>
  </externalReferences>
  <definedNames>
    <definedName name="ang">#REF!</definedName>
    <definedName name="angle">#REF!</definedName>
    <definedName name="angr">#REF!</definedName>
    <definedName name="ANGT">#REF!</definedName>
    <definedName name="ap">#REF!</definedName>
    <definedName name="APPUIS">#REF!</definedName>
    <definedName name="ascar">#REF!</definedName>
    <definedName name="assemb">#REF!</definedName>
    <definedName name="b">#REF!</definedName>
    <definedName name="ba">#REF!</definedName>
    <definedName name="bp">#REF!</definedName>
    <definedName name="ca">#REF!</definedName>
    <definedName name="cad">#REF!</definedName>
    <definedName name="cb">#REF!</definedName>
    <definedName name="cbase">#REF!</definedName>
    <definedName name="CHARGES">#REF!</definedName>
    <definedName name="chaut">#REF!</definedName>
    <definedName name="chumi">#REF!</definedName>
    <definedName name="coef">#REF!</definedName>
    <definedName name="DA">#REF!</definedName>
    <definedName name="DB">#REF!</definedName>
    <definedName name="DC">#REF!</definedName>
    <definedName name="delta">#REF!</definedName>
    <definedName name="DESCH">#REF!</definedName>
    <definedName name="donnees">#REF!</definedName>
    <definedName name="dp">#REF!</definedName>
    <definedName name="_ds1">#REF!</definedName>
    <definedName name="_ds2">#REF!</definedName>
    <definedName name="_ds3">#REF!</definedName>
    <definedName name="_ds4">#REF!</definedName>
    <definedName name="e">#REF!</definedName>
    <definedName name="ep">#REF!</definedName>
    <definedName name="f">#REF!</definedName>
    <definedName name="fad">#REF!</definedName>
    <definedName name="_fl2">#REF!</definedName>
    <definedName name="_fl3">#REF!</definedName>
    <definedName name="fleche">#REF!</definedName>
    <definedName name="flechex">#REF!</definedName>
    <definedName name="flechey">#REF!</definedName>
    <definedName name="fluage">#REF!</definedName>
    <definedName name="g">#REF!</definedName>
    <definedName name="h">#REF!</definedName>
    <definedName name="ha">#REF!</definedName>
    <definedName name="haa">#REF!</definedName>
    <definedName name="hb">#REF!</definedName>
    <definedName name="hc">#REF!</definedName>
    <definedName name="hcc">#REF!</definedName>
    <definedName name="hu">#REF!</definedName>
    <definedName name="igz">#REF!</definedName>
    <definedName name="igzf">#REF!</definedName>
    <definedName name="_IMP1">#REF!</definedName>
    <definedName name="_IMP2">#REF!</definedName>
    <definedName name="_IMP3">#REF!</definedName>
    <definedName name="_IMP4">#REF!</definedName>
    <definedName name="K">#REF!</definedName>
    <definedName name="long">#REF!</definedName>
    <definedName name="LSRTORTQ">#REF!</definedName>
    <definedName name="mf">#REF!</definedName>
    <definedName name="mfi">#REF!</definedName>
    <definedName name="mfix">#REF!</definedName>
    <definedName name="mfiy">#REF!</definedName>
    <definedName name="MNL6C82">#REF!</definedName>
    <definedName name="module">#REF!</definedName>
    <definedName name="n">#REF!</definedName>
    <definedName name="na">#REF!</definedName>
    <definedName name="nc">#REF!</definedName>
    <definedName name="nf">#REF!</definedName>
    <definedName name="ni">#REF!</definedName>
    <definedName name="nt">#REF!</definedName>
    <definedName name="OLE_LINK5" localSheetId="13">'0'!$A$10</definedName>
    <definedName name="phi">#REF!</definedName>
    <definedName name="pn">#REF!</definedName>
    <definedName name="pnh">#REF!</definedName>
    <definedName name="portee">#REF!</definedName>
    <definedName name="pp">#REF!</definedName>
    <definedName name="_ra2">#REF!</definedName>
    <definedName name="ra3e">#REF!</definedName>
    <definedName name="ra3m">#REF!</definedName>
    <definedName name="rapport">#REF!</definedName>
    <definedName name="ray">#REF!</definedName>
    <definedName name="rayon">#REF!</definedName>
    <definedName name="REPSTR">#REF!</definedName>
    <definedName name="retour">#REF!</definedName>
    <definedName name="rox">#REF!</definedName>
    <definedName name="rt">#REF!</definedName>
    <definedName name="sections">#REF!</definedName>
    <definedName name="sig">#REF!</definedName>
    <definedName name="sigma">#REF!</definedName>
    <definedName name="SOIMP1RT">#REF!</definedName>
    <definedName name="T">#REF!</definedName>
    <definedName name="ta">#REF!</definedName>
    <definedName name="tag">#REF!</definedName>
    <definedName name="tapn">#REF!</definedName>
    <definedName name="taux">#REF!</definedName>
    <definedName name="tauxn">#REF!</definedName>
    <definedName name="tauxp">#REF!</definedName>
    <definedName name="ti">#REF!</definedName>
    <definedName name="toiture">#REF!</definedName>
    <definedName name="VAENTRER_ABS_OL16C7">#REF!</definedName>
    <definedName name="vh">#REF!</definedName>
    <definedName name="xa">#REF!</definedName>
    <definedName name="xaa">#REF!</definedName>
    <definedName name="xb">#REF!</definedName>
    <definedName name="xc">#REF!</definedName>
    <definedName name="xcc">#REF!</definedName>
    <definedName name="xi">#REF!</definedName>
    <definedName name="xip">#REF!</definedName>
    <definedName name="xo">#REF!</definedName>
    <definedName name="ya">#REF!</definedName>
    <definedName name="yaa">#REF!</definedName>
    <definedName name="yb">#REF!</definedName>
    <definedName name="yc">#REF!</definedName>
    <definedName name="ycc">#REF!</definedName>
    <definedName name="yi">#REF!</definedName>
    <definedName name="yip">#REF!</definedName>
    <definedName name="z">#REF!</definedName>
    <definedName name="_xlnm.Print_Area" localSheetId="6">'4-1'!$A$1:$O$48</definedName>
    <definedName name="_xlnm.Print_Area" localSheetId="7">'4-2'!$A$1:$S$36</definedName>
    <definedName name="_xlnm.Print_Area" localSheetId="8">'4-3'!$A$1:$S$51</definedName>
    <definedName name="_xlnm.Print_Area" localSheetId="9">'4-4'!$A$1:$U$87</definedName>
    <definedName name="_xlnm.Print_Area" localSheetId="10">'4-5'!$A$1:$E$53</definedName>
    <definedName name="_xlnm.Print_Area" localSheetId="11">'4-6'!$A$1:$H$52</definedName>
    <definedName name="_xlnm.Print_Area" localSheetId="12">'4-7'!$A$1:$O$37</definedName>
    <definedName name="Zone1">#REF!</definedName>
    <definedName name="Zone2">#REF!</definedName>
    <definedName name="Zone3">#REF!</definedName>
  </definedNames>
  <calcPr calcId="145621"/>
</workbook>
</file>

<file path=xl/calcChain.xml><?xml version="1.0" encoding="utf-8"?>
<calcChain xmlns="http://schemas.openxmlformats.org/spreadsheetml/2006/main">
  <c r="C21" i="52" l="1"/>
  <c r="Z7" i="92"/>
  <c r="C7" i="92"/>
  <c r="C9" i="92"/>
  <c r="F17" i="92" s="1"/>
  <c r="G20" i="92" s="1"/>
  <c r="C20" i="92"/>
  <c r="C22" i="92"/>
  <c r="Z9" i="92"/>
  <c r="Z18" i="92"/>
  <c r="Z18" i="91"/>
  <c r="L11" i="91"/>
  <c r="C20" i="91"/>
  <c r="C23" i="91"/>
  <c r="C9" i="91"/>
  <c r="Z7" i="91"/>
  <c r="C7" i="91" s="1"/>
  <c r="F17" i="91" s="1"/>
  <c r="G20" i="91" s="1"/>
  <c r="Z9" i="91"/>
  <c r="C9" i="52"/>
  <c r="C7" i="52"/>
  <c r="H17" i="52" s="1"/>
  <c r="G21" i="52" s="1"/>
  <c r="C18" i="52"/>
  <c r="F17" i="52"/>
  <c r="AF5" i="31"/>
  <c r="AH5" i="31" s="1"/>
  <c r="AJ5" i="31" s="1"/>
  <c r="AL5" i="31" s="1"/>
  <c r="AM9" i="31"/>
  <c r="AF4" i="31"/>
  <c r="AH4" i="31" s="1"/>
  <c r="AJ4" i="31" s="1"/>
  <c r="AL4" i="31" s="1"/>
  <c r="AF6" i="31"/>
  <c r="AH6" i="31"/>
  <c r="AJ6" i="31" s="1"/>
  <c r="AL6" i="31" s="1"/>
  <c r="AR12" i="31" s="1"/>
  <c r="Q3" i="29"/>
  <c r="N3" i="29"/>
  <c r="B9" i="29" s="1"/>
  <c r="Q4" i="29"/>
  <c r="X13" i="16"/>
  <c r="AD11" i="56"/>
  <c r="D25" i="56" s="1"/>
  <c r="G25" i="56"/>
  <c r="AO29" i="2"/>
  <c r="AO30" i="2"/>
  <c r="AO31" i="2"/>
  <c r="AO32" i="2"/>
  <c r="AO33" i="2"/>
  <c r="AO34" i="2"/>
  <c r="AO35" i="2"/>
  <c r="AO36" i="2"/>
  <c r="AO37" i="2"/>
  <c r="AO28" i="2"/>
  <c r="AQ29" i="2"/>
  <c r="AQ30" i="2"/>
  <c r="AQ31" i="2"/>
  <c r="AQ32" i="2"/>
  <c r="AQ33" i="2"/>
  <c r="AQ34" i="2"/>
  <c r="AQ35" i="2"/>
  <c r="AQ36" i="2"/>
  <c r="AQ37" i="2"/>
  <c r="AQ28" i="2"/>
  <c r="T13" i="39"/>
  <c r="T15" i="39" s="1"/>
  <c r="T14" i="39"/>
  <c r="V9" i="39"/>
  <c r="R7" i="39"/>
  <c r="B12" i="39" s="1"/>
  <c r="T16" i="39"/>
  <c r="AA22" i="39"/>
  <c r="T3" i="39"/>
  <c r="V3" i="39" s="1"/>
  <c r="X3" i="39" s="1"/>
  <c r="Z3" i="39" s="1"/>
  <c r="AH7" i="39"/>
  <c r="Y15" i="17"/>
  <c r="Y14" i="17"/>
  <c r="D9" i="17"/>
  <c r="Y10" i="17"/>
  <c r="Y11" i="17" s="1"/>
  <c r="F14" i="17"/>
  <c r="F13" i="17"/>
  <c r="F12" i="17"/>
  <c r="F11" i="17"/>
  <c r="W4" i="23"/>
  <c r="C7" i="23" s="1"/>
  <c r="B14" i="39"/>
  <c r="V10" i="39"/>
  <c r="C47" i="39"/>
  <c r="C40" i="39"/>
  <c r="C42" i="39" s="1"/>
  <c r="C43" i="39" s="1"/>
  <c r="C50" i="39" s="1"/>
  <c r="AD12" i="55"/>
  <c r="AI1" i="55" s="1"/>
  <c r="AF4" i="55"/>
  <c r="AN6" i="55"/>
  <c r="AG4" i="55"/>
  <c r="AF2" i="55"/>
  <c r="AG2" i="55" s="1"/>
  <c r="AF5" i="55"/>
  <c r="AG5" i="55"/>
  <c r="C15" i="90"/>
  <c r="I16" i="90" s="1"/>
  <c r="K12" i="90" s="1"/>
  <c r="C6" i="90"/>
  <c r="K15" i="90"/>
  <c r="I15" i="90"/>
  <c r="I12" i="90" s="1"/>
  <c r="J12" i="90"/>
  <c r="Z6" i="90"/>
  <c r="Z4" i="90"/>
  <c r="C20" i="45"/>
  <c r="C19" i="45"/>
  <c r="X23" i="20"/>
  <c r="B28" i="50"/>
  <c r="B29" i="50"/>
  <c r="B30" i="50" s="1"/>
  <c r="AA19" i="24"/>
  <c r="AA22" i="24" s="1"/>
  <c r="AA18" i="24"/>
  <c r="F11" i="24" s="1"/>
  <c r="AC22" i="15"/>
  <c r="AC24" i="15"/>
  <c r="AC25" i="15"/>
  <c r="AC23" i="15"/>
  <c r="AC26" i="15" s="1"/>
  <c r="AC27" i="15" s="1"/>
  <c r="D27" i="15"/>
  <c r="D7" i="89"/>
  <c r="D9" i="89"/>
  <c r="D8" i="89"/>
  <c r="D217" i="89"/>
  <c r="B217" i="89"/>
  <c r="B218" i="89"/>
  <c r="D13" i="89"/>
  <c r="R29" i="89"/>
  <c r="S29" i="89" s="1"/>
  <c r="E29" i="89" s="1"/>
  <c r="B50" i="89"/>
  <c r="C45" i="89"/>
  <c r="S26" i="89"/>
  <c r="E26" i="89" s="1"/>
  <c r="R26" i="89"/>
  <c r="T26" i="89" s="1"/>
  <c r="E27" i="89" s="1"/>
  <c r="B45" i="89"/>
  <c r="C38" i="89"/>
  <c r="E25" i="89"/>
  <c r="B38" i="89"/>
  <c r="D25" i="89"/>
  <c r="B39" i="89"/>
  <c r="B33" i="89"/>
  <c r="R24" i="89"/>
  <c r="D24" i="89"/>
  <c r="S25" i="89"/>
  <c r="R25" i="89"/>
  <c r="C219" i="89"/>
  <c r="C218" i="89"/>
  <c r="C217" i="89"/>
  <c r="B219" i="89"/>
  <c r="C6" i="48"/>
  <c r="V2" i="25"/>
  <c r="V1" i="25"/>
  <c r="U2" i="25"/>
  <c r="U1" i="25"/>
  <c r="P2" i="25"/>
  <c r="D6" i="25"/>
  <c r="P1" i="25"/>
  <c r="D5" i="25" s="1"/>
  <c r="Z4" i="25"/>
  <c r="H101" i="19"/>
  <c r="H103" i="19" s="1"/>
  <c r="G104" i="19" s="1"/>
  <c r="G25" i="19" s="1"/>
  <c r="G101" i="19"/>
  <c r="G103" i="19" s="1"/>
  <c r="G98" i="19"/>
  <c r="H98" i="19" s="1"/>
  <c r="H19" i="19"/>
  <c r="X29" i="20"/>
  <c r="D17" i="20" s="1"/>
  <c r="AA23" i="20"/>
  <c r="AA21" i="20"/>
  <c r="X22" i="20" s="1"/>
  <c r="AA22" i="20"/>
  <c r="AA24" i="20"/>
  <c r="X24" i="20"/>
  <c r="X25" i="20"/>
  <c r="X16" i="20"/>
  <c r="AE20" i="20"/>
  <c r="AF20" i="20" s="1"/>
  <c r="AE22" i="20" s="1"/>
  <c r="AG20" i="20"/>
  <c r="AE21" i="20"/>
  <c r="AF21" i="20" s="1"/>
  <c r="AE23" i="20" s="1"/>
  <c r="AG21" i="20"/>
  <c r="X12" i="20"/>
  <c r="X13" i="20" s="1"/>
  <c r="W18" i="22"/>
  <c r="W20" i="22" s="1"/>
  <c r="X26" i="16"/>
  <c r="D15" i="16" s="1"/>
  <c r="X36" i="16" s="1"/>
  <c r="X23" i="16"/>
  <c r="X25" i="16" s="1"/>
  <c r="X27" i="16" s="1"/>
  <c r="D16" i="16" s="1"/>
  <c r="D17" i="16" s="1"/>
  <c r="X22" i="16"/>
  <c r="Y22" i="16"/>
  <c r="Z22" i="16"/>
  <c r="D20" i="16"/>
  <c r="D26" i="16" s="1"/>
  <c r="D18" i="16"/>
  <c r="X29" i="16"/>
  <c r="X30" i="16" s="1"/>
  <c r="X21" i="15"/>
  <c r="X23" i="15"/>
  <c r="X19" i="15"/>
  <c r="Y19" i="15" s="1"/>
  <c r="X27" i="15"/>
  <c r="X28" i="15"/>
  <c r="X20" i="15"/>
  <c r="Y20" i="15" s="1"/>
  <c r="D16" i="15"/>
  <c r="Y29" i="6"/>
  <c r="X28" i="6" s="1"/>
  <c r="X24" i="6"/>
  <c r="X26" i="6"/>
  <c r="Y26" i="6"/>
  <c r="Z26" i="6"/>
  <c r="D12" i="6"/>
  <c r="D11" i="6"/>
  <c r="X15" i="4"/>
  <c r="X16" i="4"/>
  <c r="X17" i="4" s="1"/>
  <c r="D9" i="4" s="1"/>
  <c r="X14" i="4"/>
  <c r="Y13" i="4"/>
  <c r="Z13" i="4"/>
  <c r="X18" i="4"/>
  <c r="D10" i="4" s="1"/>
  <c r="D14" i="4" s="1"/>
  <c r="D20" i="4" s="1"/>
  <c r="D12" i="4"/>
  <c r="X27" i="4" s="1"/>
  <c r="X20" i="4"/>
  <c r="X21" i="4"/>
  <c r="AA20" i="30"/>
  <c r="X21" i="30"/>
  <c r="X25" i="30" s="1"/>
  <c r="X26" i="30" s="1"/>
  <c r="AA14" i="30"/>
  <c r="AA17" i="30" s="1"/>
  <c r="AA22" i="30" s="1"/>
  <c r="X22" i="30" s="1"/>
  <c r="AA23" i="30"/>
  <c r="X23" i="30" s="1"/>
  <c r="AA21" i="24"/>
  <c r="AA26" i="24"/>
  <c r="X26" i="24"/>
  <c r="AA24" i="24"/>
  <c r="X25" i="24" s="1"/>
  <c r="AA25" i="24"/>
  <c r="AA27" i="24"/>
  <c r="X27" i="24"/>
  <c r="Y29" i="26"/>
  <c r="X28" i="26"/>
  <c r="X24" i="26"/>
  <c r="X26" i="26"/>
  <c r="D12" i="26"/>
  <c r="D11" i="26"/>
  <c r="D28" i="15"/>
  <c r="Y13" i="8"/>
  <c r="X12" i="8" s="1"/>
  <c r="X10" i="8"/>
  <c r="Y10" i="8"/>
  <c r="Z10" i="8"/>
  <c r="X8" i="8"/>
  <c r="D12" i="8"/>
  <c r="D11" i="8"/>
  <c r="Y15" i="7"/>
  <c r="X14" i="7"/>
  <c r="X13" i="7"/>
  <c r="X11" i="7"/>
  <c r="D10" i="7"/>
  <c r="D15" i="3"/>
  <c r="X17" i="3"/>
  <c r="X13" i="3"/>
  <c r="X16" i="3"/>
  <c r="X19" i="3"/>
  <c r="Z19" i="3"/>
  <c r="X20" i="3"/>
  <c r="D12" i="3" s="1"/>
  <c r="X23" i="3"/>
  <c r="X24" i="3" s="1"/>
  <c r="D3" i="2"/>
  <c r="X19" i="2" s="1"/>
  <c r="X17" i="2"/>
  <c r="Y17" i="2" s="1"/>
  <c r="Z17" i="2"/>
  <c r="D2" i="2"/>
  <c r="X15" i="2" s="1"/>
  <c r="X18" i="2"/>
  <c r="Y18" i="2"/>
  <c r="Z18" i="2"/>
  <c r="D14" i="2"/>
  <c r="X25" i="2"/>
  <c r="X26" i="2" s="1"/>
  <c r="Z9" i="46"/>
  <c r="D7" i="46" s="1"/>
  <c r="Z7" i="46"/>
  <c r="C7" i="46"/>
  <c r="C9" i="46"/>
  <c r="C23" i="46"/>
  <c r="Z18" i="46"/>
  <c r="C21" i="46"/>
  <c r="C20" i="46"/>
  <c r="G3" i="17"/>
  <c r="AC1" i="50"/>
  <c r="AC8" i="50"/>
  <c r="AB8" i="50"/>
  <c r="B32" i="50"/>
  <c r="F16" i="50"/>
  <c r="F14" i="50"/>
  <c r="AC7" i="50"/>
  <c r="AC2" i="50"/>
  <c r="AC3" i="50"/>
  <c r="AC4" i="50"/>
  <c r="AB12" i="50"/>
  <c r="C22" i="47"/>
  <c r="Z7" i="52"/>
  <c r="E12" i="61"/>
  <c r="C30" i="61" s="1"/>
  <c r="E30" i="61"/>
  <c r="G30" i="61" s="1"/>
  <c r="E13" i="61"/>
  <c r="D30" i="61"/>
  <c r="F30" i="61" s="1"/>
  <c r="C31" i="61"/>
  <c r="E31" i="61" s="1"/>
  <c r="G31" i="61" s="1"/>
  <c r="D31" i="61"/>
  <c r="F31" i="61" s="1"/>
  <c r="H31" i="61" s="1"/>
  <c r="C32" i="61"/>
  <c r="E32" i="61" s="1"/>
  <c r="G32" i="61" s="1"/>
  <c r="D32" i="61"/>
  <c r="F32" i="61" s="1"/>
  <c r="H32" i="61" s="1"/>
  <c r="C33" i="61"/>
  <c r="E33" i="61" s="1"/>
  <c r="G33" i="61" s="1"/>
  <c r="D33" i="61"/>
  <c r="F33" i="61" s="1"/>
  <c r="H33" i="61" s="1"/>
  <c r="D29" i="61"/>
  <c r="F29" i="61" s="1"/>
  <c r="H29" i="61" s="1"/>
  <c r="C29" i="61"/>
  <c r="E29" i="61" s="1"/>
  <c r="G29" i="61" s="1"/>
  <c r="AE2" i="62"/>
  <c r="D23" i="62" s="1"/>
  <c r="D27" i="62"/>
  <c r="G12" i="61"/>
  <c r="C40" i="61" s="1"/>
  <c r="E40" i="61" s="1"/>
  <c r="G40" i="61" s="1"/>
  <c r="G13" i="61"/>
  <c r="D40" i="61" s="1"/>
  <c r="F40" i="61"/>
  <c r="H40" i="61" s="1"/>
  <c r="C41" i="61"/>
  <c r="E41" i="61" s="1"/>
  <c r="G41" i="61" s="1"/>
  <c r="D41" i="61"/>
  <c r="F41" i="61" s="1"/>
  <c r="H41" i="61" s="1"/>
  <c r="D39" i="61"/>
  <c r="F39" i="61" s="1"/>
  <c r="H39" i="61" s="1"/>
  <c r="H30" i="61"/>
  <c r="B12" i="61"/>
  <c r="B11" i="61"/>
  <c r="J27" i="62"/>
  <c r="G26" i="62"/>
  <c r="M27" i="62"/>
  <c r="J23" i="62"/>
  <c r="G25" i="62" s="1"/>
  <c r="G27" i="62" s="1"/>
  <c r="F26" i="62"/>
  <c r="F27" i="62" s="1"/>
  <c r="E24" i="62"/>
  <c r="E25" i="62" s="1"/>
  <c r="E26" i="62"/>
  <c r="E27" i="62" s="1"/>
  <c r="Z2" i="62"/>
  <c r="G23" i="62" s="1"/>
  <c r="G24" i="62"/>
  <c r="AD11" i="58"/>
  <c r="D35" i="58"/>
  <c r="D37" i="58" s="1"/>
  <c r="D38" i="58"/>
  <c r="D39" i="58"/>
  <c r="D40" i="58"/>
  <c r="E36" i="58"/>
  <c r="E37" i="58" s="1"/>
  <c r="E38" i="58" s="1"/>
  <c r="E39" i="58" s="1"/>
  <c r="E40" i="58"/>
  <c r="F40" i="58"/>
  <c r="G40" i="58"/>
  <c r="G39" i="58"/>
  <c r="G38" i="58"/>
  <c r="H40" i="58"/>
  <c r="H39" i="58"/>
  <c r="H38" i="58"/>
  <c r="G37" i="58"/>
  <c r="H37" i="58"/>
  <c r="H36" i="58"/>
  <c r="G35" i="58"/>
  <c r="G36" i="58"/>
  <c r="AC2" i="58"/>
  <c r="J22" i="62"/>
  <c r="J17" i="62"/>
  <c r="J16" i="62"/>
  <c r="J15" i="62"/>
  <c r="C15" i="62"/>
  <c r="J14" i="62"/>
  <c r="H28" i="56"/>
  <c r="G27" i="56"/>
  <c r="G28" i="56" s="1"/>
  <c r="F27" i="56"/>
  <c r="F28" i="56"/>
  <c r="E26" i="56"/>
  <c r="E27" i="56" s="1"/>
  <c r="E28" i="56" s="1"/>
  <c r="D26" i="56"/>
  <c r="D27" i="56" s="1"/>
  <c r="D28" i="56" s="1"/>
  <c r="H27" i="56"/>
  <c r="H26" i="56"/>
  <c r="G26" i="56"/>
  <c r="AC2" i="56"/>
  <c r="H40" i="55"/>
  <c r="G38" i="55"/>
  <c r="G40" i="55" s="1"/>
  <c r="E39" i="55"/>
  <c r="E40" i="55" s="1"/>
  <c r="H39" i="55"/>
  <c r="G39" i="55"/>
  <c r="C39" i="55"/>
  <c r="C37" i="55"/>
  <c r="C35" i="55"/>
  <c r="C34" i="55"/>
  <c r="G28" i="55"/>
  <c r="E28" i="55"/>
  <c r="C25" i="55"/>
  <c r="C24" i="55"/>
  <c r="H20" i="55"/>
  <c r="G19" i="55"/>
  <c r="G20" i="55"/>
  <c r="E20" i="55"/>
  <c r="H12" i="55"/>
  <c r="Z2" i="55"/>
  <c r="E12" i="55"/>
  <c r="O4" i="27"/>
  <c r="Q4" i="27"/>
  <c r="O5" i="27"/>
  <c r="Q5" i="27"/>
  <c r="Q6" i="27"/>
  <c r="Q7" i="27" s="1"/>
  <c r="C11" i="27"/>
  <c r="C12" i="27"/>
  <c r="Z9" i="52"/>
  <c r="Z18" i="52"/>
  <c r="Z4" i="48"/>
  <c r="Z6" i="48"/>
  <c r="C13" i="48"/>
  <c r="E14" i="48"/>
  <c r="G14" i="48"/>
  <c r="E15" i="48"/>
  <c r="E17" i="48" s="1"/>
  <c r="G15" i="48"/>
  <c r="G17" i="48" s="1"/>
  <c r="Z7" i="47"/>
  <c r="C7" i="47" s="1"/>
  <c r="Z9" i="47"/>
  <c r="D7" i="47" s="1"/>
  <c r="C9" i="47"/>
  <c r="C20" i="47"/>
  <c r="C21" i="47"/>
  <c r="Z18" i="47"/>
  <c r="Z7" i="45"/>
  <c r="C7" i="45" s="1"/>
  <c r="Z8" i="45"/>
  <c r="D7" i="45" s="1"/>
  <c r="Z4" i="43"/>
  <c r="C5" i="43"/>
  <c r="I12" i="43" s="1"/>
  <c r="I9" i="43" s="1"/>
  <c r="J9" i="43" s="1"/>
  <c r="Z5" i="43"/>
  <c r="C12" i="43"/>
  <c r="I13" i="43" s="1"/>
  <c r="K9" i="43" s="1"/>
  <c r="Z4" i="42"/>
  <c r="C5" i="42"/>
  <c r="Z5" i="42"/>
  <c r="I12" i="42"/>
  <c r="I9" i="42" s="1"/>
  <c r="C12" i="42"/>
  <c r="I13" i="42" s="1"/>
  <c r="K9" i="42" s="1"/>
  <c r="K12" i="42"/>
  <c r="Z4" i="41"/>
  <c r="C5" i="41"/>
  <c r="I12" i="41" s="1"/>
  <c r="I9" i="41" s="1"/>
  <c r="J9" i="41" s="1"/>
  <c r="Z5" i="41"/>
  <c r="C12" i="41"/>
  <c r="I13" i="41" s="1"/>
  <c r="K9" i="41" s="1"/>
  <c r="Z4" i="40"/>
  <c r="C5" i="40"/>
  <c r="Z5" i="40"/>
  <c r="I12" i="40"/>
  <c r="I9" i="40" s="1"/>
  <c r="C12" i="40"/>
  <c r="I13" i="40" s="1"/>
  <c r="K9" i="40" s="1"/>
  <c r="K12" i="40"/>
  <c r="Z4" i="38"/>
  <c r="C5" i="38"/>
  <c r="I12" i="38" s="1"/>
  <c r="I9" i="38" s="1"/>
  <c r="J9" i="38" s="1"/>
  <c r="Z5" i="38"/>
  <c r="C12" i="38"/>
  <c r="I13" i="38" s="1"/>
  <c r="K9" i="38" s="1"/>
  <c r="Z4" i="37"/>
  <c r="C5" i="37"/>
  <c r="Z5" i="37"/>
  <c r="I12" i="37"/>
  <c r="I9" i="37" s="1"/>
  <c r="C12" i="37"/>
  <c r="I13" i="37" s="1"/>
  <c r="K9" i="37" s="1"/>
  <c r="K12" i="37"/>
  <c r="Y12" i="4"/>
  <c r="Z12" i="4"/>
  <c r="F7" i="30"/>
  <c r="X12" i="30"/>
  <c r="AA18" i="30"/>
  <c r="AE19" i="30"/>
  <c r="AG19" i="30" s="1"/>
  <c r="AF19" i="30"/>
  <c r="AE20" i="30"/>
  <c r="X28" i="30"/>
  <c r="X65" i="30"/>
  <c r="X67" i="30"/>
  <c r="Z67" i="30" s="1"/>
  <c r="Y67" i="30"/>
  <c r="X68" i="30"/>
  <c r="X75" i="30"/>
  <c r="X76" i="30"/>
  <c r="X78" i="30" s="1"/>
  <c r="X79" i="30"/>
  <c r="X80" i="30"/>
  <c r="X81" i="30"/>
  <c r="X82" i="30"/>
  <c r="F8" i="24"/>
  <c r="F9" i="24"/>
  <c r="X16" i="24"/>
  <c r="AE23" i="24"/>
  <c r="AG23" i="24" s="1"/>
  <c r="AF23" i="24"/>
  <c r="AE24" i="24"/>
  <c r="X32" i="24"/>
  <c r="X69" i="24"/>
  <c r="X71" i="24"/>
  <c r="Z71" i="24" s="1"/>
  <c r="Y71" i="24"/>
  <c r="X72" i="24"/>
  <c r="X79" i="24"/>
  <c r="X80" i="24"/>
  <c r="X82" i="24" s="1"/>
  <c r="X83" i="24"/>
  <c r="X84" i="24"/>
  <c r="X85" i="24"/>
  <c r="X86" i="24"/>
  <c r="F9" i="20"/>
  <c r="F10" i="20"/>
  <c r="D53" i="20"/>
  <c r="D54" i="20"/>
  <c r="D55" i="20"/>
  <c r="D56" i="20"/>
  <c r="D57" i="20"/>
  <c r="X69" i="20" s="1"/>
  <c r="D58" i="20"/>
  <c r="D59" i="20"/>
  <c r="D60" i="20"/>
  <c r="X71" i="20"/>
  <c r="X66" i="20"/>
  <c r="X68" i="20"/>
  <c r="Y68" i="20"/>
  <c r="Z68" i="20"/>
  <c r="D65" i="20"/>
  <c r="X76" i="20"/>
  <c r="X77" i="20" s="1"/>
  <c r="W10" i="19"/>
  <c r="C3" i="19" s="1"/>
  <c r="C13" i="19" s="1"/>
  <c r="Z3" i="19"/>
  <c r="AA3" i="19" s="1"/>
  <c r="C4" i="19"/>
  <c r="Y4" i="19"/>
  <c r="Z4" i="19"/>
  <c r="AA4" i="19" s="1"/>
  <c r="C5" i="19"/>
  <c r="Y5" i="19"/>
  <c r="Z5" i="19"/>
  <c r="AA5" i="19" s="1"/>
  <c r="C6" i="19"/>
  <c r="C8" i="19" s="1"/>
  <c r="Y6" i="19"/>
  <c r="Z6" i="19"/>
  <c r="AA6" i="19" s="1"/>
  <c r="C7" i="19"/>
  <c r="Y7" i="19"/>
  <c r="Z7" i="19"/>
  <c r="AA7" i="19" s="1"/>
  <c r="Y8" i="19"/>
  <c r="Z8" i="19"/>
  <c r="AA8" i="19" s="1"/>
  <c r="C9" i="19"/>
  <c r="Y9" i="19"/>
  <c r="Z9" i="19"/>
  <c r="AA9" i="19" s="1"/>
  <c r="C10" i="19"/>
  <c r="Y10" i="19"/>
  <c r="Z10" i="19"/>
  <c r="AA10" i="19" s="1"/>
  <c r="W11" i="19"/>
  <c r="Y11" i="19"/>
  <c r="Z11" i="19"/>
  <c r="AA11" i="19" s="1"/>
  <c r="D12" i="19"/>
  <c r="Y13" i="19"/>
  <c r="Y14" i="19" s="1"/>
  <c r="Z13" i="19"/>
  <c r="AA13" i="19" s="1"/>
  <c r="Z14" i="19"/>
  <c r="AA14" i="19" s="1"/>
  <c r="W25" i="19"/>
  <c r="C18" i="19" s="1"/>
  <c r="X25" i="19"/>
  <c r="D21" i="19" s="1"/>
  <c r="D23" i="19" s="1"/>
  <c r="D18" i="19"/>
  <c r="C19" i="19"/>
  <c r="D19" i="19"/>
  <c r="C20" i="19"/>
  <c r="D20" i="19"/>
  <c r="U22" i="19"/>
  <c r="C22" i="19"/>
  <c r="D22" i="19"/>
  <c r="C24" i="19"/>
  <c r="D24" i="19"/>
  <c r="C25" i="19"/>
  <c r="D25" i="19"/>
  <c r="Y19" i="17"/>
  <c r="Y20" i="17"/>
  <c r="Y21" i="17"/>
  <c r="Y22" i="17"/>
  <c r="Y23" i="17"/>
  <c r="Y24" i="17"/>
  <c r="Y25" i="17"/>
  <c r="Y26" i="17"/>
  <c r="Y27" i="17"/>
  <c r="Y28" i="17"/>
  <c r="AF24" i="16"/>
  <c r="G8" i="16" s="1"/>
  <c r="AF25" i="16"/>
  <c r="X21" i="16"/>
  <c r="Z21" i="16" s="1"/>
  <c r="Y21" i="16"/>
  <c r="AC24" i="16"/>
  <c r="AC25" i="16"/>
  <c r="AC26" i="16"/>
  <c r="AC27" i="16"/>
  <c r="AC28" i="16"/>
  <c r="AC29" i="16"/>
  <c r="D29" i="16"/>
  <c r="AF22" i="15"/>
  <c r="AF23" i="15"/>
  <c r="G5" i="15"/>
  <c r="X12" i="15"/>
  <c r="G14" i="15"/>
  <c r="G15" i="15"/>
  <c r="AF24" i="15"/>
  <c r="AF25" i="15"/>
  <c r="C5" i="23"/>
  <c r="C6" i="23"/>
  <c r="C8" i="23"/>
  <c r="C9" i="23"/>
  <c r="C10" i="23"/>
  <c r="W21" i="23"/>
  <c r="W22" i="23"/>
  <c r="D51" i="23"/>
  <c r="G51" i="23" s="1"/>
  <c r="D24" i="23"/>
  <c r="D52" i="23"/>
  <c r="B25" i="23"/>
  <c r="E25" i="23" s="1"/>
  <c r="F25" i="23" s="1"/>
  <c r="G52" i="23"/>
  <c r="D25" i="23"/>
  <c r="D53" i="23"/>
  <c r="G53" i="23" s="1"/>
  <c r="D26" i="23" s="1"/>
  <c r="D54" i="23"/>
  <c r="B27" i="23"/>
  <c r="E27" i="23" s="1"/>
  <c r="F27" i="23" s="1"/>
  <c r="G54" i="23"/>
  <c r="D27" i="23"/>
  <c r="D55" i="23"/>
  <c r="G55" i="23" s="1"/>
  <c r="D28" i="23"/>
  <c r="D56" i="23"/>
  <c r="B29" i="23"/>
  <c r="E29" i="23" s="1"/>
  <c r="F29" i="23" s="1"/>
  <c r="G56" i="23"/>
  <c r="D29" i="23"/>
  <c r="B51" i="23"/>
  <c r="E51" i="23" s="1"/>
  <c r="C51" i="23"/>
  <c r="F51" i="23"/>
  <c r="B52" i="23"/>
  <c r="E52" i="23" s="1"/>
  <c r="C52" i="23"/>
  <c r="F52" i="23" s="1"/>
  <c r="B53" i="23"/>
  <c r="E53" i="23" s="1"/>
  <c r="C53" i="23"/>
  <c r="F53" i="23"/>
  <c r="B54" i="23"/>
  <c r="E54" i="23" s="1"/>
  <c r="C54" i="23"/>
  <c r="F54" i="23" s="1"/>
  <c r="B55" i="23"/>
  <c r="E55" i="23" s="1"/>
  <c r="C55" i="23"/>
  <c r="F55" i="23"/>
  <c r="B56" i="23"/>
  <c r="E56" i="23" s="1"/>
  <c r="C56" i="23"/>
  <c r="F56" i="23" s="1"/>
  <c r="J2" i="22"/>
  <c r="W27" i="22" s="1"/>
  <c r="W4" i="22"/>
  <c r="V32" i="22"/>
  <c r="W32" i="22" s="1"/>
  <c r="W26" i="22"/>
  <c r="W25" i="22"/>
  <c r="X32" i="22"/>
  <c r="X33" i="22" s="1"/>
  <c r="X34" i="22" s="1"/>
  <c r="X35" i="22" s="1"/>
  <c r="X36" i="22" s="1"/>
  <c r="W29" i="22"/>
  <c r="W28" i="22"/>
  <c r="J7" i="22"/>
  <c r="C23" i="22"/>
  <c r="D23" i="22"/>
  <c r="G23" i="22" s="1"/>
  <c r="F23" i="22"/>
  <c r="B24" i="22"/>
  <c r="E24" i="22" s="1"/>
  <c r="C24" i="22"/>
  <c r="D24" i="22"/>
  <c r="G24" i="22" s="1"/>
  <c r="F24" i="22"/>
  <c r="B25" i="22"/>
  <c r="E25" i="22" s="1"/>
  <c r="F25" i="22" s="1"/>
  <c r="G25" i="22" s="1"/>
  <c r="C25" i="22"/>
  <c r="D25" i="22"/>
  <c r="K25" i="22"/>
  <c r="K27" i="22" s="1"/>
  <c r="B26" i="22"/>
  <c r="C26" i="22"/>
  <c r="D26" i="22"/>
  <c r="E26" i="22"/>
  <c r="F26" i="22" s="1"/>
  <c r="G26" i="22" s="1"/>
  <c r="K26" i="22"/>
  <c r="K28" i="22" s="1"/>
  <c r="B27" i="22"/>
  <c r="E27" i="22" s="1"/>
  <c r="F27" i="22" s="1"/>
  <c r="G27" i="22" s="1"/>
  <c r="C27" i="22"/>
  <c r="D27" i="22"/>
  <c r="B28" i="22"/>
  <c r="C28" i="22"/>
  <c r="D28" i="22"/>
  <c r="E28" i="22"/>
  <c r="F28" i="22" s="1"/>
  <c r="G28" i="22" s="1"/>
  <c r="W31" i="22"/>
  <c r="Y32" i="22"/>
  <c r="Y33" i="22"/>
  <c r="Y34" i="22" s="1"/>
  <c r="Y35" i="22" s="1"/>
  <c r="Y36" i="22" s="1"/>
  <c r="X38" i="22"/>
  <c r="Y38" i="22"/>
  <c r="X39" i="22"/>
  <c r="Y39" i="22"/>
  <c r="Y40" i="22" s="1"/>
  <c r="Y41" i="22" s="1"/>
  <c r="Y42" i="22" s="1"/>
  <c r="X40" i="22"/>
  <c r="X41" i="22"/>
  <c r="X42" i="22" s="1"/>
  <c r="X44" i="22"/>
  <c r="Y44" i="22"/>
  <c r="X45" i="22"/>
  <c r="X46" i="22" s="1"/>
  <c r="X47" i="22" s="1"/>
  <c r="X48" i="22" s="1"/>
  <c r="X49" i="22" s="1"/>
  <c r="X50" i="22" s="1"/>
  <c r="Y45" i="22"/>
  <c r="Y46" i="22" s="1"/>
  <c r="Y47" i="22" s="1"/>
  <c r="Y48" i="22" s="1"/>
  <c r="Y49" i="22" s="1"/>
  <c r="Y50" i="22" s="1"/>
  <c r="Y15" i="3"/>
  <c r="Z15" i="3"/>
  <c r="AC3" i="5"/>
  <c r="AC8" i="5" s="1"/>
  <c r="C8" i="5" s="1"/>
  <c r="AC5" i="5"/>
  <c r="AD5" i="5"/>
  <c r="W7" i="5"/>
  <c r="AC6" i="5" s="1"/>
  <c r="C6" i="5" s="1"/>
  <c r="AC15" i="5"/>
  <c r="AD20" i="5" s="1"/>
  <c r="X7" i="5"/>
  <c r="AD19" i="5" s="1"/>
  <c r="AD6" i="5"/>
  <c r="D6" i="5" s="1"/>
  <c r="AC7" i="5"/>
  <c r="C7" i="5" s="1"/>
  <c r="AC20" i="5"/>
  <c r="AD7" i="5"/>
  <c r="D7" i="5"/>
  <c r="AD8" i="5"/>
  <c r="D8" i="5" s="1"/>
  <c r="AC9" i="5"/>
  <c r="C9" i="5" s="1"/>
  <c r="AD9" i="5"/>
  <c r="D9" i="5"/>
  <c r="AD10" i="5"/>
  <c r="D10" i="5" s="1"/>
  <c r="AC11" i="5"/>
  <c r="C11" i="5" s="1"/>
  <c r="AD11" i="5"/>
  <c r="D11" i="5"/>
  <c r="AD12" i="5"/>
  <c r="D12" i="5" s="1"/>
  <c r="AC13" i="5"/>
  <c r="C13" i="5" s="1"/>
  <c r="AC26" i="5"/>
  <c r="AD13" i="5"/>
  <c r="D13" i="5"/>
  <c r="AC18" i="5"/>
  <c r="AD18" i="5"/>
  <c r="R22" i="5"/>
  <c r="T22" i="5"/>
  <c r="R23" i="5"/>
  <c r="T23" i="5"/>
  <c r="R24" i="5"/>
  <c r="R25" i="5"/>
  <c r="R27" i="5" s="1"/>
  <c r="R26" i="5"/>
  <c r="B26" i="5"/>
  <c r="R28" i="5"/>
  <c r="R29" i="5" s="1"/>
  <c r="T24" i="5"/>
  <c r="T25" i="5"/>
  <c r="T26" i="5"/>
  <c r="D26" i="5"/>
  <c r="T28" i="5" s="1"/>
  <c r="A27" i="5"/>
  <c r="AB2" i="13"/>
  <c r="AB3" i="13"/>
  <c r="BG8" i="13"/>
  <c r="BG11" i="13" s="1"/>
  <c r="BG13" i="13"/>
  <c r="BH13" i="13"/>
  <c r="BI13" i="13"/>
  <c r="BI15" i="13" s="1"/>
  <c r="BJ13" i="13"/>
  <c r="BK13" i="13"/>
  <c r="BL13" i="13"/>
  <c r="BM13" i="13"/>
  <c r="BM15" i="13" s="1"/>
  <c r="BH14" i="13"/>
  <c r="BI14" i="13"/>
  <c r="BJ14" i="13"/>
  <c r="BL14" i="13"/>
  <c r="BM14" i="13"/>
  <c r="BH15" i="13"/>
  <c r="BH24" i="13" s="1"/>
  <c r="BJ15" i="13"/>
  <c r="BL15" i="13"/>
  <c r="BH16" i="13"/>
  <c r="BI16" i="13"/>
  <c r="BJ16" i="13"/>
  <c r="BK16" i="13"/>
  <c r="BL16" i="13"/>
  <c r="BM16" i="13"/>
  <c r="BG21" i="13"/>
  <c r="B17" i="13"/>
  <c r="BH17" i="13"/>
  <c r="BI17" i="13"/>
  <c r="BJ17" i="13"/>
  <c r="BK17" i="13"/>
  <c r="BL17" i="13"/>
  <c r="BM17" i="13"/>
  <c r="BH18" i="13"/>
  <c r="BI18" i="13"/>
  <c r="BJ18" i="13"/>
  <c r="BL18" i="13"/>
  <c r="BM18" i="13"/>
  <c r="BH19" i="13"/>
  <c r="BI19" i="13"/>
  <c r="BJ19" i="13"/>
  <c r="BK19" i="13"/>
  <c r="BL19" i="13"/>
  <c r="BM19" i="13"/>
  <c r="BH20" i="13"/>
  <c r="BI20" i="13"/>
  <c r="BJ20" i="13"/>
  <c r="BL20" i="13"/>
  <c r="BM20" i="13"/>
  <c r="BH21" i="13"/>
  <c r="BI21" i="13"/>
  <c r="BJ21" i="13"/>
  <c r="BK21" i="13"/>
  <c r="BL21" i="13"/>
  <c r="BM21" i="13"/>
  <c r="BH23" i="13"/>
  <c r="BJ23" i="13"/>
  <c r="BL23" i="13"/>
  <c r="BD24" i="13"/>
  <c r="BL24" i="13" s="1"/>
  <c r="BH36" i="13"/>
  <c r="BI36" i="13"/>
  <c r="BJ36" i="13"/>
  <c r="BL36" i="13"/>
  <c r="BM36" i="13"/>
  <c r="BD37" i="13"/>
  <c r="BH37" i="13" s="1"/>
  <c r="BI37" i="13"/>
  <c r="BJ37" i="13"/>
  <c r="BM37" i="13"/>
  <c r="BD38" i="13"/>
  <c r="BH38" i="13" s="1"/>
  <c r="BI38" i="13"/>
  <c r="BJ38" i="13"/>
  <c r="BM38" i="13"/>
  <c r="BD39" i="13"/>
  <c r="BH39" i="13" s="1"/>
  <c r="BI39" i="13"/>
  <c r="BJ39" i="13"/>
  <c r="BM39" i="13"/>
  <c r="BD40" i="13"/>
  <c r="BH40" i="13" s="1"/>
  <c r="BI40" i="13"/>
  <c r="BJ40" i="13"/>
  <c r="BM40" i="13"/>
  <c r="BD41" i="13"/>
  <c r="BH41" i="13" s="1"/>
  <c r="BJ41" i="13"/>
  <c r="BD42" i="13"/>
  <c r="BH42" i="13" s="1"/>
  <c r="B7" i="11"/>
  <c r="L2" i="11"/>
  <c r="B11" i="11" s="1"/>
  <c r="B9" i="11"/>
  <c r="L3" i="11" s="1"/>
  <c r="B12" i="29"/>
  <c r="H17" i="29" s="1"/>
  <c r="F17" i="29"/>
  <c r="AN6" i="31"/>
  <c r="AP6" i="31" s="1"/>
  <c r="AQ12" i="31" s="1"/>
  <c r="C18" i="31"/>
  <c r="U13" i="12"/>
  <c r="G4" i="12"/>
  <c r="V13" i="12"/>
  <c r="H4" i="12" s="1"/>
  <c r="W13" i="12"/>
  <c r="I4" i="12"/>
  <c r="X13" i="12"/>
  <c r="J4" i="12" s="1"/>
  <c r="F5" i="12"/>
  <c r="U14" i="12"/>
  <c r="G5" i="12" s="1"/>
  <c r="V14" i="12"/>
  <c r="H5" i="12" s="1"/>
  <c r="W14" i="12"/>
  <c r="I5" i="12" s="1"/>
  <c r="X14" i="12"/>
  <c r="J5" i="12" s="1"/>
  <c r="F6" i="12"/>
  <c r="U15" i="12" s="1"/>
  <c r="G6" i="12" s="1"/>
  <c r="C7" i="12"/>
  <c r="C8" i="12" s="1"/>
  <c r="C9" i="12" s="1"/>
  <c r="T13" i="12"/>
  <c r="T14" i="12"/>
  <c r="T15" i="12" s="1"/>
  <c r="T16" i="12" s="1"/>
  <c r="T17" i="12" s="1"/>
  <c r="T18" i="12" s="1"/>
  <c r="T19" i="12" s="1"/>
  <c r="T20" i="12" s="1"/>
  <c r="T21" i="12" s="1"/>
  <c r="T22" i="12" s="1"/>
  <c r="T23" i="12" s="1"/>
  <c r="T24" i="12" s="1"/>
  <c r="T25" i="12" s="1"/>
  <c r="T26" i="12" s="1"/>
  <c r="T27" i="12" s="1"/>
  <c r="T28" i="12" s="1"/>
  <c r="T29" i="12" s="1"/>
  <c r="T30" i="12" s="1"/>
  <c r="T31" i="12" s="1"/>
  <c r="T32" i="12" s="1"/>
  <c r="T33" i="12" s="1"/>
  <c r="T34" i="12" s="1"/>
  <c r="T35" i="12" s="1"/>
  <c r="T36" i="12" s="1"/>
  <c r="T37" i="12" s="1"/>
  <c r="T38" i="12" s="1"/>
  <c r="T39" i="12" s="1"/>
  <c r="T40" i="12" s="1"/>
  <c r="T41" i="12" s="1"/>
  <c r="T42" i="12" s="1"/>
  <c r="T43" i="12" s="1"/>
  <c r="T44" i="12" s="1"/>
  <c r="T45" i="12" s="1"/>
  <c r="T46" i="12" s="1"/>
  <c r="T47" i="12" s="1"/>
  <c r="T48" i="12" s="1"/>
  <c r="T49" i="12" s="1"/>
  <c r="T50" i="12" s="1"/>
  <c r="T51" i="12" s="1"/>
  <c r="T52" i="12" s="1"/>
  <c r="T53" i="12" s="1"/>
  <c r="T54" i="12" s="1"/>
  <c r="T55" i="12" s="1"/>
  <c r="T56" i="12" s="1"/>
  <c r="T57" i="12" s="1"/>
  <c r="T58" i="12" s="1"/>
  <c r="T59" i="12" s="1"/>
  <c r="T60" i="12" s="1"/>
  <c r="T61" i="12" s="1"/>
  <c r="T62" i="12" s="1"/>
  <c r="T63" i="12" s="1"/>
  <c r="T64" i="12" s="1"/>
  <c r="T65" i="12" s="1"/>
  <c r="T66" i="12" s="1"/>
  <c r="T67" i="12" s="1"/>
  <c r="T68" i="12" s="1"/>
  <c r="T69" i="12" s="1"/>
  <c r="T70" i="12" s="1"/>
  <c r="T71" i="12" s="1"/>
  <c r="T72" i="12" s="1"/>
  <c r="T73" i="12" s="1"/>
  <c r="T74" i="12" s="1"/>
  <c r="T75" i="12" s="1"/>
  <c r="T76" i="12" s="1"/>
  <c r="T77" i="12" s="1"/>
  <c r="T78" i="12" s="1"/>
  <c r="T79" i="12" s="1"/>
  <c r="T80" i="12" s="1"/>
  <c r="T81" i="12" s="1"/>
  <c r="T82" i="12" s="1"/>
  <c r="T83" i="12" s="1"/>
  <c r="T84" i="12" s="1"/>
  <c r="T85" i="12" s="1"/>
  <c r="T86" i="12" s="1"/>
  <c r="T87" i="12" s="1"/>
  <c r="T88" i="12" s="1"/>
  <c r="T89" i="12" s="1"/>
  <c r="T90" i="12" s="1"/>
  <c r="T91" i="12" s="1"/>
  <c r="U33" i="12"/>
  <c r="V33" i="12"/>
  <c r="W33" i="12"/>
  <c r="X33" i="12"/>
  <c r="B5" i="10"/>
  <c r="C5" i="10"/>
  <c r="F5" i="10"/>
  <c r="I5" i="10"/>
  <c r="K5" i="10"/>
  <c r="M5" i="10"/>
  <c r="F6" i="10"/>
  <c r="H6" i="10"/>
  <c r="I6" i="10"/>
  <c r="J6" i="10"/>
  <c r="K6" i="10" s="1"/>
  <c r="L6" i="10"/>
  <c r="M6" i="10"/>
  <c r="F7" i="10"/>
  <c r="H7" i="10"/>
  <c r="I7" i="10" s="1"/>
  <c r="J7" i="10"/>
  <c r="J8" i="10" s="1"/>
  <c r="J9" i="10" s="1"/>
  <c r="K9" i="10" s="1"/>
  <c r="L7" i="10"/>
  <c r="M7" i="10" s="1"/>
  <c r="AR7" i="10"/>
  <c r="AS7" i="10"/>
  <c r="AT7" i="10"/>
  <c r="AU7" i="10"/>
  <c r="AV7" i="10"/>
  <c r="AW7" i="10"/>
  <c r="AX7" i="10"/>
  <c r="AY7" i="10"/>
  <c r="AZ7" i="10"/>
  <c r="BA7" i="10"/>
  <c r="BB7" i="10"/>
  <c r="BC7" i="10"/>
  <c r="F8" i="10"/>
  <c r="H8" i="10"/>
  <c r="I8" i="10" s="1"/>
  <c r="L8" i="10"/>
  <c r="M8" i="10" s="1"/>
  <c r="AH8" i="10"/>
  <c r="F9" i="10"/>
  <c r="L9" i="10"/>
  <c r="AG9" i="10"/>
  <c r="AH9" i="10"/>
  <c r="AR9" i="10"/>
  <c r="AS9" i="10"/>
  <c r="AT9" i="10"/>
  <c r="AU9" i="10"/>
  <c r="AV9" i="10"/>
  <c r="AW9" i="10"/>
  <c r="AX9" i="10"/>
  <c r="AY9" i="10"/>
  <c r="AZ9" i="10"/>
  <c r="BA9" i="10"/>
  <c r="BB9" i="10"/>
  <c r="BC9" i="10"/>
  <c r="F10" i="10"/>
  <c r="AG10" i="10"/>
  <c r="AH10" i="10" s="1"/>
  <c r="F11" i="10"/>
  <c r="F12" i="10"/>
  <c r="AQ12" i="10"/>
  <c r="AR12" i="10"/>
  <c r="AS12" i="10"/>
  <c r="AT12" i="10" s="1"/>
  <c r="F13" i="10"/>
  <c r="AP13" i="10"/>
  <c r="AQ13" i="10"/>
  <c r="AR13" i="10"/>
  <c r="F14" i="10"/>
  <c r="AV14" i="10"/>
  <c r="AW14" i="10" s="1"/>
  <c r="F15" i="10"/>
  <c r="AU15" i="10"/>
  <c r="F16" i="10"/>
  <c r="BA16" i="10"/>
  <c r="BB16" i="10"/>
  <c r="BC16" i="10"/>
  <c r="BD16" i="10" s="1"/>
  <c r="F17" i="10"/>
  <c r="AZ17" i="10"/>
  <c r="BA17" i="10"/>
  <c r="BB17" i="10"/>
  <c r="F18" i="10"/>
  <c r="F19" i="10"/>
  <c r="F20" i="10"/>
  <c r="F21" i="10"/>
  <c r="F22" i="10"/>
  <c r="F23" i="10"/>
  <c r="F24" i="10"/>
  <c r="F25" i="10"/>
  <c r="F26" i="10"/>
  <c r="F27" i="10"/>
  <c r="AH31" i="10"/>
  <c r="AG32" i="10"/>
  <c r="AH32" i="10"/>
  <c r="AG33" i="10"/>
  <c r="AH33" i="10" s="1"/>
  <c r="AH54" i="10"/>
  <c r="AG55" i="10"/>
  <c r="AH55" i="10" s="1"/>
  <c r="Z5" i="25"/>
  <c r="C53" i="9"/>
  <c r="C54" i="9"/>
  <c r="C55" i="9" s="1"/>
  <c r="C5" i="9" s="1"/>
  <c r="C13" i="9" s="1"/>
  <c r="C16" i="9" s="1"/>
  <c r="C56" i="9"/>
  <c r="Z10" i="9"/>
  <c r="C11" i="9"/>
  <c r="Z11" i="9"/>
  <c r="I16" i="9"/>
  <c r="I13" i="9" s="1"/>
  <c r="E78" i="9"/>
  <c r="E79" i="9" s="1"/>
  <c r="F78" i="9"/>
  <c r="G78" i="9"/>
  <c r="H78" i="9"/>
  <c r="H79" i="9" s="1"/>
  <c r="I78" i="9"/>
  <c r="I79" i="9" s="1"/>
  <c r="J78" i="9"/>
  <c r="B79" i="9"/>
  <c r="C79" i="9"/>
  <c r="F79" i="9" s="1"/>
  <c r="D79" i="9"/>
  <c r="G79" i="9"/>
  <c r="A80" i="9"/>
  <c r="B80" i="9" s="1"/>
  <c r="AI3" i="55"/>
  <c r="D19" i="55" s="1"/>
  <c r="D20" i="55" s="1"/>
  <c r="D38" i="55"/>
  <c r="D40" i="55" s="1"/>
  <c r="C33" i="55"/>
  <c r="C32" i="55"/>
  <c r="C31" i="55"/>
  <c r="C17" i="55"/>
  <c r="C16" i="55"/>
  <c r="C15" i="55"/>
  <c r="H16" i="45" l="1"/>
  <c r="AU12" i="10"/>
  <c r="AT13" i="10"/>
  <c r="I17" i="9"/>
  <c r="K13" i="9" s="1"/>
  <c r="J13" i="9" s="1"/>
  <c r="K16" i="9"/>
  <c r="BE16" i="10"/>
  <c r="BD17" i="10"/>
  <c r="C80" i="9"/>
  <c r="D80" i="9"/>
  <c r="AX14" i="10"/>
  <c r="AW15" i="10"/>
  <c r="G11" i="55"/>
  <c r="G12" i="55" s="1"/>
  <c r="D27" i="55"/>
  <c r="D28" i="55" s="1"/>
  <c r="D39" i="55"/>
  <c r="H80" i="9"/>
  <c r="J79" i="9"/>
  <c r="AG34" i="10"/>
  <c r="BC17" i="10"/>
  <c r="AV15" i="10"/>
  <c r="AS13" i="10"/>
  <c r="AG11" i="10"/>
  <c r="J10" i="10"/>
  <c r="M9" i="10"/>
  <c r="L10" i="10"/>
  <c r="D11" i="55"/>
  <c r="D12" i="55" s="1"/>
  <c r="A81" i="9"/>
  <c r="AG56" i="10"/>
  <c r="H9" i="10"/>
  <c r="K8" i="10"/>
  <c r="K7" i="10"/>
  <c r="BK15" i="13"/>
  <c r="BK14" i="13"/>
  <c r="BK18" i="13"/>
  <c r="BG14" i="13"/>
  <c r="BG17" i="13"/>
  <c r="BG18" i="13"/>
  <c r="BG20" i="13"/>
  <c r="BG16" i="13"/>
  <c r="Z69" i="20"/>
  <c r="Y69" i="20"/>
  <c r="X15" i="12"/>
  <c r="J6" i="12" s="1"/>
  <c r="V15" i="12"/>
  <c r="H6" i="12" s="1"/>
  <c r="F19" i="29"/>
  <c r="BD43" i="13"/>
  <c r="BJ42" i="13"/>
  <c r="BM41" i="13"/>
  <c r="BI41" i="13"/>
  <c r="BL40" i="13"/>
  <c r="BL39" i="13"/>
  <c r="BL38" i="13"/>
  <c r="BL37" i="13"/>
  <c r="BJ24" i="13"/>
  <c r="BG19" i="13"/>
  <c r="BG15" i="13"/>
  <c r="BI12" i="13"/>
  <c r="BG12" i="13"/>
  <c r="F7" i="12"/>
  <c r="BM42" i="13"/>
  <c r="BI42" i="13"/>
  <c r="BL41" i="13"/>
  <c r="BD25" i="13"/>
  <c r="BK20" i="13"/>
  <c r="BM23" i="13"/>
  <c r="BM24" i="13"/>
  <c r="BM25" i="13"/>
  <c r="BI23" i="13"/>
  <c r="BI24" i="13"/>
  <c r="BI25" i="13"/>
  <c r="T27" i="5"/>
  <c r="T29" i="5" s="1"/>
  <c r="F24" i="5" s="1"/>
  <c r="W15" i="12"/>
  <c r="I6" i="12" s="1"/>
  <c r="BL42" i="13"/>
  <c r="AB4" i="13"/>
  <c r="AB7" i="13"/>
  <c r="AB5" i="13"/>
  <c r="AC25" i="5"/>
  <c r="AC23" i="5"/>
  <c r="AC21" i="5"/>
  <c r="AC22" i="5" s="1"/>
  <c r="AC24" i="5" s="1"/>
  <c r="Z68" i="30"/>
  <c r="Y68" i="30"/>
  <c r="X23" i="2"/>
  <c r="D12" i="2" s="1"/>
  <c r="X22" i="2"/>
  <c r="D11" i="2" s="1"/>
  <c r="Y16" i="3"/>
  <c r="X21" i="3" s="1"/>
  <c r="D13" i="3" s="1"/>
  <c r="Z16" i="3"/>
  <c r="Y13" i="7"/>
  <c r="Z13" i="7"/>
  <c r="D12" i="30"/>
  <c r="AD25" i="5"/>
  <c r="AC12" i="5"/>
  <c r="C12" i="5" s="1"/>
  <c r="AD23" i="5"/>
  <c r="AC10" i="5"/>
  <c r="C10" i="5" s="1"/>
  <c r="AD21" i="5"/>
  <c r="AD22" i="5" s="1"/>
  <c r="AD24" i="5" s="1"/>
  <c r="AC19" i="5"/>
  <c r="V33" i="22"/>
  <c r="B26" i="23"/>
  <c r="E26" i="23" s="1"/>
  <c r="F26" i="23" s="1"/>
  <c r="D30" i="16"/>
  <c r="C21" i="19"/>
  <c r="C23" i="19" s="1"/>
  <c r="Z72" i="24"/>
  <c r="Y72" i="24"/>
  <c r="J9" i="37"/>
  <c r="K12" i="38"/>
  <c r="J9" i="40"/>
  <c r="K12" i="41"/>
  <c r="J9" i="42"/>
  <c r="K12" i="43"/>
  <c r="F17" i="47"/>
  <c r="G20" i="47" s="1"/>
  <c r="X30" i="3"/>
  <c r="D16" i="3"/>
  <c r="B15" i="39"/>
  <c r="B13" i="39"/>
  <c r="AE25" i="24"/>
  <c r="AE27" i="24" s="1"/>
  <c r="AG20" i="30"/>
  <c r="AF20" i="30"/>
  <c r="AE22" i="30" s="1"/>
  <c r="AE21" i="30"/>
  <c r="AE23" i="30" s="1"/>
  <c r="F16" i="45"/>
  <c r="G19" i="45" s="1"/>
  <c r="H17" i="47"/>
  <c r="O7" i="27"/>
  <c r="O9" i="27" s="1"/>
  <c r="C14" i="27" s="1"/>
  <c r="D25" i="62"/>
  <c r="D26" i="62"/>
  <c r="D24" i="62"/>
  <c r="F17" i="46"/>
  <c r="G20" i="46" s="1"/>
  <c r="D11" i="4"/>
  <c r="X32" i="16"/>
  <c r="X35" i="16"/>
  <c r="D24" i="16" s="1"/>
  <c r="D28" i="16" s="1"/>
  <c r="X33" i="16"/>
  <c r="X34" i="16"/>
  <c r="AD26" i="5"/>
  <c r="B28" i="23"/>
  <c r="E28" i="23" s="1"/>
  <c r="F28" i="23" s="1"/>
  <c r="B24" i="23"/>
  <c r="E24" i="23" s="1"/>
  <c r="F24" i="23" s="1"/>
  <c r="X70" i="20"/>
  <c r="AG24" i="24"/>
  <c r="AF24" i="24"/>
  <c r="AE26" i="24" s="1"/>
  <c r="H17" i="46"/>
  <c r="X17" i="7"/>
  <c r="AB10" i="50"/>
  <c r="AB5" i="50"/>
  <c r="AB11" i="50"/>
  <c r="B31" i="50"/>
  <c r="AB9" i="50"/>
  <c r="Z2" i="50" s="1"/>
  <c r="B33" i="50" s="1"/>
  <c r="AB1" i="50"/>
  <c r="AB7" i="50"/>
  <c r="AB3" i="50"/>
  <c r="AB6" i="50"/>
  <c r="AB2" i="50"/>
  <c r="AB4" i="50"/>
  <c r="D16" i="8"/>
  <c r="X29" i="24"/>
  <c r="D13" i="4"/>
  <c r="B41" i="89"/>
  <c r="B40" i="89"/>
  <c r="D14" i="89"/>
  <c r="B52" i="89"/>
  <c r="C47" i="89"/>
  <c r="X74" i="24"/>
  <c r="X73" i="24" s="1"/>
  <c r="X70" i="30"/>
  <c r="X69" i="30" s="1"/>
  <c r="D36" i="58"/>
  <c r="C39" i="61"/>
  <c r="E39" i="61" s="1"/>
  <c r="G39" i="61" s="1"/>
  <c r="C17" i="50"/>
  <c r="F17" i="50" s="1"/>
  <c r="H14" i="50" s="1"/>
  <c r="G14" i="50" s="1"/>
  <c r="X23" i="7"/>
  <c r="D13" i="7" s="1"/>
  <c r="X31" i="6"/>
  <c r="D16" i="6" s="1"/>
  <c r="X31" i="20"/>
  <c r="X32" i="20" s="1"/>
  <c r="X33" i="20" s="1"/>
  <c r="Z33" i="20"/>
  <c r="X26" i="20"/>
  <c r="Z26" i="20"/>
  <c r="C46" i="89"/>
  <c r="D47" i="89" s="1"/>
  <c r="Z32" i="20"/>
  <c r="AN4" i="31"/>
  <c r="AP4" i="31" s="1"/>
  <c r="AR11" i="31"/>
  <c r="X15" i="8"/>
  <c r="Y26" i="26"/>
  <c r="X31" i="26" s="1"/>
  <c r="Z26" i="26"/>
  <c r="D22" i="16"/>
  <c r="D27" i="16" s="1"/>
  <c r="D23" i="16"/>
  <c r="D19" i="16"/>
  <c r="AE24" i="20"/>
  <c r="B34" i="89"/>
  <c r="C39" i="89"/>
  <c r="B19" i="39"/>
  <c r="AB3" i="39"/>
  <c r="AD3" i="39" s="1"/>
  <c r="AN5" i="31"/>
  <c r="AP5" i="31" s="1"/>
  <c r="C16" i="31" s="1"/>
  <c r="Z20" i="15"/>
  <c r="X25" i="15" s="1"/>
  <c r="D14" i="15" s="1"/>
  <c r="Z19" i="15"/>
  <c r="X24" i="15" s="1"/>
  <c r="D13" i="15" s="1"/>
  <c r="W19" i="22"/>
  <c r="B23" i="22" s="1"/>
  <c r="E23" i="22" s="1"/>
  <c r="D26" i="89"/>
  <c r="B46" i="89" s="1"/>
  <c r="B47" i="89" s="1"/>
  <c r="C4" i="23"/>
  <c r="Y12" i="17"/>
  <c r="Y13" i="17" s="1"/>
  <c r="Y16" i="17" s="1"/>
  <c r="D8" i="17" s="1"/>
  <c r="D10" i="17" s="1"/>
  <c r="F27" i="52"/>
  <c r="D17" i="15" l="1"/>
  <c r="X34" i="15"/>
  <c r="D14" i="26"/>
  <c r="D16" i="26"/>
  <c r="D13" i="26"/>
  <c r="X38" i="26" s="1"/>
  <c r="D10" i="26"/>
  <c r="D15" i="15"/>
  <c r="D18" i="15"/>
  <c r="D24" i="15" s="1"/>
  <c r="C18" i="27"/>
  <c r="C17" i="27"/>
  <c r="C19" i="27"/>
  <c r="C15" i="31"/>
  <c r="AQ11" i="31"/>
  <c r="AM12" i="31" s="1"/>
  <c r="C12" i="31" s="1"/>
  <c r="X77" i="24"/>
  <c r="X76" i="24"/>
  <c r="D12" i="24"/>
  <c r="D13" i="24" s="1"/>
  <c r="D15" i="24" s="1"/>
  <c r="X30" i="24"/>
  <c r="H16" i="50"/>
  <c r="D14" i="30"/>
  <c r="D13" i="30"/>
  <c r="D14" i="3"/>
  <c r="D17" i="3"/>
  <c r="D23" i="3" s="1"/>
  <c r="V16" i="12"/>
  <c r="H7" i="12" s="1"/>
  <c r="X16" i="12"/>
  <c r="J7" i="12" s="1"/>
  <c r="U16" i="12"/>
  <c r="G7" i="12" s="1"/>
  <c r="W16" i="12"/>
  <c r="I7" i="12" s="1"/>
  <c r="F8" i="12"/>
  <c r="BD14" i="13"/>
  <c r="BG24" i="13"/>
  <c r="BG23" i="13"/>
  <c r="BG25" i="13"/>
  <c r="B16" i="13"/>
  <c r="AH56" i="10"/>
  <c r="AG57" i="10"/>
  <c r="M10" i="10"/>
  <c r="L11" i="10"/>
  <c r="F80" i="9"/>
  <c r="J80" i="9"/>
  <c r="G80" i="9"/>
  <c r="E80" i="9"/>
  <c r="I80" i="9"/>
  <c r="AA31" i="20"/>
  <c r="AA33" i="20"/>
  <c r="AA32" i="20"/>
  <c r="D13" i="6"/>
  <c r="D10" i="6"/>
  <c r="D14" i="6"/>
  <c r="W33" i="22"/>
  <c r="V34" i="22"/>
  <c r="X32" i="2"/>
  <c r="D15" i="2"/>
  <c r="AB6" i="13"/>
  <c r="AB8" i="13"/>
  <c r="B8" i="13" s="1"/>
  <c r="BK41" i="13"/>
  <c r="BK36" i="13"/>
  <c r="BK37" i="13"/>
  <c r="BK38" i="13"/>
  <c r="BK39" i="13"/>
  <c r="BK40" i="13"/>
  <c r="BK43" i="13"/>
  <c r="BK42" i="13"/>
  <c r="B81" i="9"/>
  <c r="A82" i="9"/>
  <c r="B20" i="39"/>
  <c r="D21" i="16"/>
  <c r="F22" i="16" s="1"/>
  <c r="D25" i="16"/>
  <c r="F20" i="16"/>
  <c r="C41" i="89"/>
  <c r="C40" i="89"/>
  <c r="D13" i="8"/>
  <c r="D14" i="8"/>
  <c r="D10" i="8"/>
  <c r="X27" i="20"/>
  <c r="X28" i="20" s="1"/>
  <c r="D16" i="20" s="1"/>
  <c r="D18" i="20" s="1"/>
  <c r="D19" i="20" s="1"/>
  <c r="C52" i="89"/>
  <c r="D52" i="89"/>
  <c r="D9" i="7"/>
  <c r="D13" i="2"/>
  <c r="D16" i="2"/>
  <c r="D22" i="2" s="1"/>
  <c r="BI43" i="13"/>
  <c r="BM43" i="13"/>
  <c r="BJ43" i="13"/>
  <c r="BD44" i="13"/>
  <c r="BK44" i="13" s="1"/>
  <c r="BH43" i="13"/>
  <c r="BL43" i="13"/>
  <c r="B18" i="13"/>
  <c r="BG36" i="13"/>
  <c r="BG37" i="13"/>
  <c r="BG38" i="13"/>
  <c r="BG39" i="13"/>
  <c r="BG40" i="13"/>
  <c r="BK23" i="13"/>
  <c r="BK25" i="13"/>
  <c r="BK24" i="13"/>
  <c r="I9" i="10"/>
  <c r="H10" i="10"/>
  <c r="J11" i="10"/>
  <c r="K10" i="10"/>
  <c r="AX15" i="10"/>
  <c r="AY14" i="10"/>
  <c r="BE17" i="10"/>
  <c r="BF16" i="10"/>
  <c r="AU13" i="10"/>
  <c r="AV12" i="10"/>
  <c r="AS11" i="31"/>
  <c r="D17" i="31" s="1"/>
  <c r="AM13" i="31"/>
  <c r="C17" i="31" s="1"/>
  <c r="X73" i="30"/>
  <c r="X72" i="30"/>
  <c r="D15" i="4"/>
  <c r="D19" i="4"/>
  <c r="X73" i="20"/>
  <c r="D62" i="20" s="1"/>
  <c r="X74" i="20"/>
  <c r="D63" i="20" s="1"/>
  <c r="X24" i="4"/>
  <c r="D16" i="4" s="1"/>
  <c r="X25" i="4"/>
  <c r="X26" i="4"/>
  <c r="D18" i="4" s="1"/>
  <c r="D22" i="4" s="1"/>
  <c r="D17" i="4"/>
  <c r="X23" i="4"/>
  <c r="C16" i="27"/>
  <c r="C21" i="27"/>
  <c r="B16" i="39"/>
  <c r="Z4" i="39" s="1"/>
  <c r="AB4" i="39" s="1"/>
  <c r="AD4" i="39" s="1"/>
  <c r="B17" i="39" s="1"/>
  <c r="D22" i="3"/>
  <c r="B7" i="13"/>
  <c r="BJ25" i="13"/>
  <c r="BL25" i="13"/>
  <c r="BH25" i="13"/>
  <c r="BD26" i="13"/>
  <c r="AH11" i="10"/>
  <c r="AG12" i="10"/>
  <c r="AG35" i="10"/>
  <c r="AH34" i="10"/>
  <c r="D21" i="4" l="1"/>
  <c r="F18" i="4"/>
  <c r="G18" i="4" s="1"/>
  <c r="D66" i="20"/>
  <c r="X83" i="20"/>
  <c r="AV13" i="10"/>
  <c r="AW12" i="10"/>
  <c r="AY15" i="10"/>
  <c r="AZ14" i="10"/>
  <c r="I10" i="10"/>
  <c r="H11" i="10"/>
  <c r="D11" i="7"/>
  <c r="X22" i="7"/>
  <c r="D12" i="7" s="1"/>
  <c r="D81" i="9"/>
  <c r="C81" i="9"/>
  <c r="X27" i="3"/>
  <c r="X29" i="3"/>
  <c r="D21" i="3" s="1"/>
  <c r="D25" i="3" s="1"/>
  <c r="X28" i="3"/>
  <c r="D20" i="3" s="1"/>
  <c r="X26" i="3"/>
  <c r="D18" i="3" s="1"/>
  <c r="D19" i="3"/>
  <c r="D24" i="3" s="1"/>
  <c r="BL26" i="13"/>
  <c r="BD27" i="13"/>
  <c r="BJ26" i="13"/>
  <c r="BM26" i="13"/>
  <c r="BI26" i="13"/>
  <c r="BH26" i="13"/>
  <c r="BJ44" i="13"/>
  <c r="BD45" i="13"/>
  <c r="BH44" i="13"/>
  <c r="BL44" i="13"/>
  <c r="BI44" i="13"/>
  <c r="BM44" i="13"/>
  <c r="D15" i="6"/>
  <c r="X39" i="6" s="1"/>
  <c r="X40" i="6" s="1"/>
  <c r="X41" i="6" s="1"/>
  <c r="D17" i="6"/>
  <c r="X36" i="6"/>
  <c r="AH57" i="10"/>
  <c r="AG58" i="10"/>
  <c r="U17" i="12"/>
  <c r="G8" i="12" s="1"/>
  <c r="W17" i="12"/>
  <c r="I8" i="12" s="1"/>
  <c r="F9" i="12"/>
  <c r="V17" i="12"/>
  <c r="H8" i="12" s="1"/>
  <c r="X17" i="12"/>
  <c r="J8" i="12" s="1"/>
  <c r="AH12" i="10"/>
  <c r="AG13" i="10"/>
  <c r="AH35" i="10"/>
  <c r="AG36" i="10"/>
  <c r="F22" i="4"/>
  <c r="G22" i="4" s="1"/>
  <c r="BF17" i="10"/>
  <c r="BG16" i="10"/>
  <c r="X31" i="2"/>
  <c r="D20" i="2" s="1"/>
  <c r="D24" i="2" s="1"/>
  <c r="X29" i="2"/>
  <c r="X28" i="2"/>
  <c r="X30" i="2"/>
  <c r="D19" i="2" s="1"/>
  <c r="X23" i="8"/>
  <c r="D18" i="8" s="1"/>
  <c r="D19" i="8" s="1"/>
  <c r="D15" i="8"/>
  <c r="X24" i="8" s="1"/>
  <c r="F28" i="16"/>
  <c r="F26" i="16"/>
  <c r="AE24" i="39"/>
  <c r="AA25" i="39" s="1"/>
  <c r="C25" i="39" s="1"/>
  <c r="D21" i="2"/>
  <c r="D17" i="2"/>
  <c r="F20" i="2" s="1"/>
  <c r="G20" i="2" s="1"/>
  <c r="V35" i="22"/>
  <c r="W34" i="22"/>
  <c r="X38" i="6"/>
  <c r="BG26" i="13"/>
  <c r="X32" i="15"/>
  <c r="D21" i="15" s="1"/>
  <c r="X31" i="15"/>
  <c r="D20" i="15" s="1"/>
  <c r="D25" i="15" s="1"/>
  <c r="X30" i="15"/>
  <c r="X33" i="15"/>
  <c r="D22" i="15" s="1"/>
  <c r="D26" i="15" s="1"/>
  <c r="D23" i="15"/>
  <c r="D19" i="15"/>
  <c r="F18" i="15"/>
  <c r="F25" i="3"/>
  <c r="G25" i="3" s="1"/>
  <c r="D64" i="20"/>
  <c r="D67" i="20"/>
  <c r="D73" i="20" s="1"/>
  <c r="K11" i="10"/>
  <c r="J12" i="10"/>
  <c r="BK26" i="13"/>
  <c r="B82" i="9"/>
  <c r="A83" i="9"/>
  <c r="D18" i="2"/>
  <c r="D23" i="2" s="1"/>
  <c r="M11" i="10"/>
  <c r="L12" i="10"/>
  <c r="D17" i="26"/>
  <c r="D15" i="26"/>
  <c r="X39" i="26" s="1"/>
  <c r="X36" i="26"/>
  <c r="B83" i="9" l="1"/>
  <c r="A84" i="9"/>
  <c r="D19" i="6"/>
  <c r="D20" i="6" s="1"/>
  <c r="D18" i="6"/>
  <c r="D19" i="26"/>
  <c r="D20" i="26" s="1"/>
  <c r="X40" i="26"/>
  <c r="X41" i="26" s="1"/>
  <c r="D18" i="26" s="1"/>
  <c r="K12" i="10"/>
  <c r="J13" i="10"/>
  <c r="F20" i="15"/>
  <c r="V36" i="22"/>
  <c r="W35" i="22"/>
  <c r="AH5" i="39"/>
  <c r="C28" i="39" s="1"/>
  <c r="AH8" i="39" s="1"/>
  <c r="C29" i="39" s="1"/>
  <c r="AH3" i="39"/>
  <c r="AH4" i="39"/>
  <c r="AG37" i="10"/>
  <c r="AH36" i="10"/>
  <c r="BJ27" i="13"/>
  <c r="BD28" i="13"/>
  <c r="BL27" i="13"/>
  <c r="BH27" i="13"/>
  <c r="BM27" i="13"/>
  <c r="BI27" i="13"/>
  <c r="BK27" i="13"/>
  <c r="BG27" i="13"/>
  <c r="F21" i="3"/>
  <c r="G21" i="3" s="1"/>
  <c r="F81" i="9"/>
  <c r="J81" i="9"/>
  <c r="G81" i="9"/>
  <c r="I81" i="9"/>
  <c r="H81" i="9"/>
  <c r="E81" i="9"/>
  <c r="H12" i="10"/>
  <c r="I11" i="10"/>
  <c r="AX12" i="10"/>
  <c r="AW13" i="10"/>
  <c r="F67" i="20"/>
  <c r="D72" i="20"/>
  <c r="F73" i="20" s="1"/>
  <c r="M12" i="10"/>
  <c r="L13" i="10"/>
  <c r="C82" i="9"/>
  <c r="D82" i="9"/>
  <c r="AG14" i="10"/>
  <c r="AH13" i="10"/>
  <c r="V18" i="12"/>
  <c r="H9" i="12" s="1"/>
  <c r="X18" i="12"/>
  <c r="J9" i="12" s="1"/>
  <c r="U18" i="12"/>
  <c r="G9" i="12" s="1"/>
  <c r="W18" i="12"/>
  <c r="I9" i="12" s="1"/>
  <c r="F10" i="12"/>
  <c r="BH45" i="13"/>
  <c r="BL45" i="13"/>
  <c r="BI45" i="13"/>
  <c r="BM45" i="13"/>
  <c r="BJ45" i="13"/>
  <c r="BD46" i="13"/>
  <c r="BK45" i="13"/>
  <c r="BA14" i="10"/>
  <c r="AZ15" i="10"/>
  <c r="AP18" i="10"/>
  <c r="BG17" i="10"/>
  <c r="AH58" i="10"/>
  <c r="AG59" i="10"/>
  <c r="X81" i="20"/>
  <c r="X82" i="20"/>
  <c r="D71" i="20" s="1"/>
  <c r="D75" i="20" s="1"/>
  <c r="X79" i="20"/>
  <c r="D68" i="20" s="1"/>
  <c r="X80" i="20"/>
  <c r="D69" i="20" s="1"/>
  <c r="D74" i="20" s="1"/>
  <c r="F26" i="15"/>
  <c r="F24" i="15"/>
  <c r="F24" i="2"/>
  <c r="G24" i="2" s="1"/>
  <c r="X25" i="8"/>
  <c r="X26" i="8" s="1"/>
  <c r="D17" i="8" s="1"/>
  <c r="D14" i="7"/>
  <c r="D15" i="7" s="1"/>
  <c r="D70" i="20"/>
  <c r="AP19" i="10" l="1"/>
  <c r="AQ18" i="10"/>
  <c r="BH46" i="13"/>
  <c r="BL46" i="13"/>
  <c r="BI46" i="13"/>
  <c r="BM46" i="13"/>
  <c r="BJ46" i="13"/>
  <c r="BK46" i="13"/>
  <c r="AH14" i="10"/>
  <c r="AG15" i="10"/>
  <c r="AH37" i="10"/>
  <c r="AG38" i="10"/>
  <c r="AH59" i="10"/>
  <c r="AG60" i="10"/>
  <c r="AY12" i="10"/>
  <c r="AX13" i="10"/>
  <c r="V37" i="22"/>
  <c r="W36" i="22"/>
  <c r="B84" i="9"/>
  <c r="A85" i="9"/>
  <c r="BB14" i="10"/>
  <c r="BA15" i="10"/>
  <c r="V19" i="12"/>
  <c r="H10" i="12" s="1"/>
  <c r="X19" i="12"/>
  <c r="J10" i="12" s="1"/>
  <c r="U19" i="12"/>
  <c r="G10" i="12" s="1"/>
  <c r="W19" i="12"/>
  <c r="I10" i="12" s="1"/>
  <c r="F11" i="12"/>
  <c r="F82" i="9"/>
  <c r="J82" i="9"/>
  <c r="G82" i="9"/>
  <c r="E82" i="9"/>
  <c r="I82" i="9"/>
  <c r="H82" i="9"/>
  <c r="D83" i="9"/>
  <c r="C83" i="9"/>
  <c r="BJ28" i="13"/>
  <c r="BD29" i="13"/>
  <c r="BH28" i="13"/>
  <c r="BL28" i="13"/>
  <c r="BI28" i="13"/>
  <c r="BM28" i="13"/>
  <c r="BG28" i="13"/>
  <c r="BK28" i="13"/>
  <c r="M13" i="10"/>
  <c r="L14" i="10"/>
  <c r="I12" i="10"/>
  <c r="H13" i="10"/>
  <c r="J14" i="10"/>
  <c r="K13" i="10"/>
  <c r="I13" i="10" l="1"/>
  <c r="H14" i="10"/>
  <c r="K14" i="10"/>
  <c r="J15" i="10"/>
  <c r="B85" i="9"/>
  <c r="A86" i="9"/>
  <c r="AG39" i="10"/>
  <c r="AH38" i="10"/>
  <c r="U20" i="12"/>
  <c r="G11" i="12" s="1"/>
  <c r="W20" i="12"/>
  <c r="I11" i="12" s="1"/>
  <c r="F12" i="12"/>
  <c r="V20" i="12"/>
  <c r="H11" i="12" s="1"/>
  <c r="X20" i="12"/>
  <c r="J11" i="12" s="1"/>
  <c r="C84" i="9"/>
  <c r="D84" i="9"/>
  <c r="AH60" i="10"/>
  <c r="AG61" i="10"/>
  <c r="AG16" i="10"/>
  <c r="AH15" i="10"/>
  <c r="AQ19" i="10"/>
  <c r="AR18" i="10"/>
  <c r="H83" i="9"/>
  <c r="G83" i="9"/>
  <c r="F83" i="9"/>
  <c r="J83" i="9"/>
  <c r="I83" i="9"/>
  <c r="E83" i="9"/>
  <c r="AY13" i="10"/>
  <c r="AZ12" i="10"/>
  <c r="L15" i="10"/>
  <c r="M14" i="10"/>
  <c r="BJ29" i="13"/>
  <c r="BD30" i="13"/>
  <c r="BH29" i="13"/>
  <c r="BL29" i="13"/>
  <c r="BI29" i="13"/>
  <c r="BM29" i="13"/>
  <c r="BK29" i="13"/>
  <c r="BG29" i="13"/>
  <c r="BB15" i="10"/>
  <c r="BC14" i="10"/>
  <c r="W37" i="22"/>
  <c r="V38" i="22"/>
  <c r="J16" i="10" l="1"/>
  <c r="K15" i="10"/>
  <c r="U21" i="12"/>
  <c r="G12" i="12" s="1"/>
  <c r="W21" i="12"/>
  <c r="I12" i="12" s="1"/>
  <c r="F13" i="12"/>
  <c r="V21" i="12"/>
  <c r="H12" i="12" s="1"/>
  <c r="X21" i="12"/>
  <c r="J12" i="12" s="1"/>
  <c r="AH39" i="10"/>
  <c r="AG40" i="10"/>
  <c r="V39" i="22"/>
  <c r="W38" i="22"/>
  <c r="M15" i="10"/>
  <c r="L16" i="10"/>
  <c r="AH16" i="10"/>
  <c r="AG17" i="10"/>
  <c r="F84" i="9"/>
  <c r="J84" i="9"/>
  <c r="G84" i="9"/>
  <c r="I84" i="9"/>
  <c r="E84" i="9"/>
  <c r="H84" i="9"/>
  <c r="B86" i="9"/>
  <c r="A87" i="9"/>
  <c r="H15" i="10"/>
  <c r="I14" i="10"/>
  <c r="BC15" i="10"/>
  <c r="BD14" i="10"/>
  <c r="BJ30" i="13"/>
  <c r="BD31" i="13"/>
  <c r="BH30" i="13"/>
  <c r="BL30" i="13"/>
  <c r="BI30" i="13"/>
  <c r="BM30" i="13"/>
  <c r="BG30" i="13"/>
  <c r="BK30" i="13"/>
  <c r="AZ13" i="10"/>
  <c r="BA12" i="10"/>
  <c r="AR19" i="10"/>
  <c r="AS18" i="10"/>
  <c r="AH61" i="10"/>
  <c r="AG62" i="10"/>
  <c r="D85" i="9"/>
  <c r="C85" i="9"/>
  <c r="H85" i="9" l="1"/>
  <c r="F85" i="9"/>
  <c r="J85" i="9"/>
  <c r="G85" i="9"/>
  <c r="I85" i="9"/>
  <c r="E85" i="9"/>
  <c r="AH17" i="10"/>
  <c r="AG18" i="10"/>
  <c r="I15" i="10"/>
  <c r="H16" i="10"/>
  <c r="AT18" i="10"/>
  <c r="AS19" i="10"/>
  <c r="BE14" i="10"/>
  <c r="BD15" i="10"/>
  <c r="C86" i="9"/>
  <c r="D86" i="9"/>
  <c r="W39" i="22"/>
  <c r="V40" i="22"/>
  <c r="B87" i="9"/>
  <c r="A88" i="9"/>
  <c r="AH62" i="10"/>
  <c r="AG63" i="10"/>
  <c r="BB12" i="10"/>
  <c r="BA13" i="10"/>
  <c r="BH31" i="13"/>
  <c r="BL31" i="13"/>
  <c r="BI31" i="13"/>
  <c r="BM31" i="13"/>
  <c r="BJ31" i="13"/>
  <c r="BD32" i="13"/>
  <c r="BK31" i="13"/>
  <c r="M16" i="10"/>
  <c r="L17" i="10"/>
  <c r="AG41" i="10"/>
  <c r="AH40" i="10"/>
  <c r="V22" i="12"/>
  <c r="H13" i="12" s="1"/>
  <c r="X22" i="12"/>
  <c r="J13" i="12" s="1"/>
  <c r="U22" i="12"/>
  <c r="G13" i="12" s="1"/>
  <c r="W22" i="12"/>
  <c r="I13" i="12" s="1"/>
  <c r="F14" i="12"/>
  <c r="K16" i="10"/>
  <c r="J17" i="10"/>
  <c r="U23" i="12" l="1"/>
  <c r="G14" i="12" s="1"/>
  <c r="W23" i="12"/>
  <c r="I14" i="12" s="1"/>
  <c r="F15" i="12"/>
  <c r="V23" i="12"/>
  <c r="H14" i="12" s="1"/>
  <c r="X23" i="12"/>
  <c r="J14" i="12" s="1"/>
  <c r="B88" i="9"/>
  <c r="A89" i="9"/>
  <c r="AG19" i="10"/>
  <c r="AH18" i="10"/>
  <c r="BC12" i="10"/>
  <c r="BB13" i="10"/>
  <c r="D87" i="9"/>
  <c r="C87" i="9"/>
  <c r="F86" i="9"/>
  <c r="J86" i="9"/>
  <c r="G86" i="9"/>
  <c r="E86" i="9"/>
  <c r="I86" i="9"/>
  <c r="H86" i="9"/>
  <c r="AT19" i="10"/>
  <c r="AU18" i="10"/>
  <c r="K17" i="10"/>
  <c r="J18" i="10"/>
  <c r="AH41" i="10"/>
  <c r="AG42" i="10"/>
  <c r="BH32" i="13"/>
  <c r="BL32" i="13"/>
  <c r="BI32" i="13"/>
  <c r="BM32" i="13"/>
  <c r="BJ32" i="13"/>
  <c r="BD33" i="13"/>
  <c r="BK32" i="13"/>
  <c r="AH63" i="10"/>
  <c r="AG64" i="10"/>
  <c r="V41" i="22"/>
  <c r="W40" i="22"/>
  <c r="I16" i="10"/>
  <c r="H17" i="10"/>
  <c r="L18" i="10"/>
  <c r="M17" i="10"/>
  <c r="BF14" i="10"/>
  <c r="BE15" i="10"/>
  <c r="V42" i="22" l="1"/>
  <c r="W41" i="22"/>
  <c r="AG20" i="10"/>
  <c r="AH19" i="10"/>
  <c r="J19" i="10"/>
  <c r="K18" i="10"/>
  <c r="B89" i="9"/>
  <c r="A90" i="9"/>
  <c r="V24" i="12"/>
  <c r="H15" i="12" s="1"/>
  <c r="X24" i="12"/>
  <c r="J15" i="12" s="1"/>
  <c r="U24" i="12"/>
  <c r="G15" i="12" s="1"/>
  <c r="W24" i="12"/>
  <c r="I15" i="12" s="1"/>
  <c r="F16" i="12"/>
  <c r="H18" i="10"/>
  <c r="I17" i="10"/>
  <c r="AH64" i="10"/>
  <c r="AG65" i="10"/>
  <c r="BC13" i="10"/>
  <c r="BD12" i="10"/>
  <c r="C88" i="9"/>
  <c r="D88" i="9"/>
  <c r="L19" i="10"/>
  <c r="M18" i="10"/>
  <c r="BI33" i="13"/>
  <c r="BM33" i="13"/>
  <c r="BJ33" i="13"/>
  <c r="BH33" i="13"/>
  <c r="BL33" i="13"/>
  <c r="BK33" i="13"/>
  <c r="BF15" i="10"/>
  <c r="BG14" i="10"/>
  <c r="AG43" i="10"/>
  <c r="AH42" i="10"/>
  <c r="AU19" i="10"/>
  <c r="AV18" i="10"/>
  <c r="AV19" i="10" s="1"/>
  <c r="H87" i="9"/>
  <c r="F87" i="9"/>
  <c r="J87" i="9"/>
  <c r="G87" i="9"/>
  <c r="I87" i="9"/>
  <c r="E87" i="9"/>
  <c r="AH43" i="10" l="1"/>
  <c r="AG44" i="10"/>
  <c r="F88" i="9"/>
  <c r="J88" i="9"/>
  <c r="G88" i="9"/>
  <c r="E88" i="9"/>
  <c r="I88" i="9"/>
  <c r="H88" i="9"/>
  <c r="B90" i="9"/>
  <c r="A91" i="9"/>
  <c r="BG15" i="10"/>
  <c r="AP16" i="10"/>
  <c r="BD13" i="10"/>
  <c r="BE12" i="10"/>
  <c r="D89" i="9"/>
  <c r="C89" i="9"/>
  <c r="AH20" i="10"/>
  <c r="AG21" i="10"/>
  <c r="H19" i="10"/>
  <c r="I18" i="10"/>
  <c r="L20" i="10"/>
  <c r="M19" i="10"/>
  <c r="AH65" i="10"/>
  <c r="AG66" i="10"/>
  <c r="U25" i="12"/>
  <c r="G16" i="12" s="1"/>
  <c r="W25" i="12"/>
  <c r="I16" i="12" s="1"/>
  <c r="F17" i="12"/>
  <c r="V25" i="12"/>
  <c r="H16" i="12" s="1"/>
  <c r="X25" i="12"/>
  <c r="J16" i="12" s="1"/>
  <c r="J20" i="10"/>
  <c r="K19" i="10"/>
  <c r="V43" i="22"/>
  <c r="W42" i="22"/>
  <c r="K20" i="10" l="1"/>
  <c r="J21" i="10"/>
  <c r="W43" i="22"/>
  <c r="V44" i="22"/>
  <c r="V26" i="12"/>
  <c r="H17" i="12" s="1"/>
  <c r="X26" i="12"/>
  <c r="J17" i="12" s="1"/>
  <c r="U26" i="12"/>
  <c r="G17" i="12" s="1"/>
  <c r="W26" i="12"/>
  <c r="I17" i="12" s="1"/>
  <c r="F18" i="12"/>
  <c r="H89" i="9"/>
  <c r="F89" i="9"/>
  <c r="J89" i="9"/>
  <c r="G89" i="9"/>
  <c r="I89" i="9"/>
  <c r="E89" i="9"/>
  <c r="AQ16" i="10"/>
  <c r="AP17" i="10"/>
  <c r="H20" i="10"/>
  <c r="I19" i="10"/>
  <c r="M20" i="10"/>
  <c r="L21" i="10"/>
  <c r="AH21" i="10"/>
  <c r="AG22" i="10"/>
  <c r="BF12" i="10"/>
  <c r="BE13" i="10"/>
  <c r="B91" i="9"/>
  <c r="A92" i="9"/>
  <c r="AG45" i="10"/>
  <c r="AH44" i="10"/>
  <c r="AH66" i="10"/>
  <c r="AG67" i="10"/>
  <c r="C90" i="9"/>
  <c r="D90" i="9"/>
  <c r="F90" i="9" l="1"/>
  <c r="J90" i="9"/>
  <c r="G90" i="9"/>
  <c r="E90" i="9"/>
  <c r="I90" i="9"/>
  <c r="H90" i="9"/>
  <c r="AH45" i="10"/>
  <c r="AG46" i="10"/>
  <c r="BG12" i="10"/>
  <c r="BF13" i="10"/>
  <c r="AR16" i="10"/>
  <c r="AQ17" i="10"/>
  <c r="V45" i="22"/>
  <c r="W44" i="22"/>
  <c r="B92" i="9"/>
  <c r="A93" i="9"/>
  <c r="D91" i="9"/>
  <c r="C91" i="9"/>
  <c r="I20" i="10"/>
  <c r="H21" i="10"/>
  <c r="K21" i="10"/>
  <c r="J22" i="10"/>
  <c r="AH67" i="10"/>
  <c r="AG68" i="10"/>
  <c r="AH68" i="10" s="1"/>
  <c r="AH22" i="10"/>
  <c r="AG23" i="10"/>
  <c r="M21" i="10"/>
  <c r="L22" i="10"/>
  <c r="U27" i="12"/>
  <c r="G18" i="12" s="1"/>
  <c r="W27" i="12"/>
  <c r="I18" i="12" s="1"/>
  <c r="F19" i="12"/>
  <c r="V27" i="12"/>
  <c r="H18" i="12" s="1"/>
  <c r="X27" i="12"/>
  <c r="J18" i="12" s="1"/>
  <c r="V28" i="12" l="1"/>
  <c r="H19" i="12" s="1"/>
  <c r="X28" i="12"/>
  <c r="J19" i="12" s="1"/>
  <c r="U28" i="12"/>
  <c r="G19" i="12" s="1"/>
  <c r="W28" i="12"/>
  <c r="I19" i="12" s="1"/>
  <c r="F20" i="12"/>
  <c r="M22" i="10"/>
  <c r="L23" i="10"/>
  <c r="I21" i="10"/>
  <c r="H22" i="10"/>
  <c r="A94" i="9"/>
  <c r="B93" i="9"/>
  <c r="AG47" i="10"/>
  <c r="AH46" i="10"/>
  <c r="C92" i="9"/>
  <c r="D92" i="9"/>
  <c r="AS16" i="10"/>
  <c r="AR17" i="10"/>
  <c r="AH23" i="10"/>
  <c r="AG24" i="10"/>
  <c r="K22" i="10"/>
  <c r="J23" i="10"/>
  <c r="H91" i="9"/>
  <c r="F91" i="9"/>
  <c r="J91" i="9"/>
  <c r="G91" i="9"/>
  <c r="I91" i="9"/>
  <c r="E91" i="9"/>
  <c r="V46" i="22"/>
  <c r="W45" i="22"/>
  <c r="BG13" i="10"/>
  <c r="AP14" i="10"/>
  <c r="W46" i="22" l="1"/>
  <c r="V47" i="22"/>
  <c r="AS17" i="10"/>
  <c r="AT16" i="10"/>
  <c r="AH47" i="10"/>
  <c r="AG48" i="10"/>
  <c r="AH24" i="10"/>
  <c r="AG25" i="10"/>
  <c r="D93" i="9"/>
  <c r="C93" i="9"/>
  <c r="M23" i="10"/>
  <c r="L24" i="10"/>
  <c r="AP15" i="10"/>
  <c r="AQ14" i="10"/>
  <c r="F92" i="9"/>
  <c r="J92" i="9"/>
  <c r="G92" i="9"/>
  <c r="E92" i="9"/>
  <c r="I92" i="9"/>
  <c r="H92" i="9"/>
  <c r="B94" i="9"/>
  <c r="A95" i="9"/>
  <c r="K23" i="10"/>
  <c r="J24" i="10"/>
  <c r="I22" i="10"/>
  <c r="H23" i="10"/>
  <c r="U29" i="12"/>
  <c r="G20" i="12" s="1"/>
  <c r="W29" i="12"/>
  <c r="I20" i="12" s="1"/>
  <c r="F21" i="12"/>
  <c r="V29" i="12"/>
  <c r="H20" i="12" s="1"/>
  <c r="X29" i="12"/>
  <c r="J20" i="12" s="1"/>
  <c r="K24" i="10" l="1"/>
  <c r="J25" i="10"/>
  <c r="M24" i="10"/>
  <c r="L25" i="10"/>
  <c r="AH25" i="10"/>
  <c r="AG26" i="10"/>
  <c r="AU16" i="10"/>
  <c r="AT17" i="10"/>
  <c r="H93" i="9"/>
  <c r="E93" i="9"/>
  <c r="I93" i="9"/>
  <c r="F93" i="9"/>
  <c r="J93" i="9"/>
  <c r="G93" i="9"/>
  <c r="AG49" i="10"/>
  <c r="AH48" i="10"/>
  <c r="V48" i="22"/>
  <c r="W47" i="22"/>
  <c r="I23" i="10"/>
  <c r="H24" i="10"/>
  <c r="A96" i="9"/>
  <c r="B95" i="9"/>
  <c r="AR14" i="10"/>
  <c r="AQ15" i="10"/>
  <c r="V30" i="12"/>
  <c r="H21" i="12" s="1"/>
  <c r="X30" i="12"/>
  <c r="J21" i="12" s="1"/>
  <c r="U30" i="12"/>
  <c r="G21" i="12" s="1"/>
  <c r="W30" i="12"/>
  <c r="I21" i="12" s="1"/>
  <c r="F22" i="12"/>
  <c r="C94" i="9"/>
  <c r="D94" i="9"/>
  <c r="I24" i="10" l="1"/>
  <c r="H25" i="10"/>
  <c r="M25" i="10"/>
  <c r="L26" i="10"/>
  <c r="AS14" i="10"/>
  <c r="AR15" i="10"/>
  <c r="AH49" i="10"/>
  <c r="AG50" i="10"/>
  <c r="AV16" i="10"/>
  <c r="AU17" i="10"/>
  <c r="F94" i="9"/>
  <c r="J94" i="9"/>
  <c r="G94" i="9"/>
  <c r="I94" i="9"/>
  <c r="E94" i="9"/>
  <c r="H94" i="9"/>
  <c r="D95" i="9"/>
  <c r="C95" i="9"/>
  <c r="AH26" i="10"/>
  <c r="AG27" i="10"/>
  <c r="K25" i="10"/>
  <c r="J26" i="10"/>
  <c r="U31" i="12"/>
  <c r="G22" i="12" s="1"/>
  <c r="W31" i="12"/>
  <c r="I22" i="12" s="1"/>
  <c r="F23" i="12"/>
  <c r="V31" i="12"/>
  <c r="H22" i="12" s="1"/>
  <c r="X31" i="12"/>
  <c r="J22" i="12" s="1"/>
  <c r="B96" i="9"/>
  <c r="A97" i="9"/>
  <c r="B97" i="9" s="1"/>
  <c r="V49" i="22"/>
  <c r="W48" i="22"/>
  <c r="C96" i="9" l="1"/>
  <c r="D96" i="9"/>
  <c r="AG28" i="10"/>
  <c r="AH27" i="10"/>
  <c r="AG51" i="10"/>
  <c r="AH50" i="10"/>
  <c r="M26" i="10"/>
  <c r="L27" i="10"/>
  <c r="W49" i="22"/>
  <c r="V50" i="22"/>
  <c r="K26" i="10"/>
  <c r="J27" i="10"/>
  <c r="K27" i="10" s="1"/>
  <c r="H95" i="9"/>
  <c r="E95" i="9"/>
  <c r="I95" i="9"/>
  <c r="F95" i="9"/>
  <c r="J95" i="9"/>
  <c r="G95" i="9"/>
  <c r="I25" i="10"/>
  <c r="H26" i="10"/>
  <c r="D97" i="9"/>
  <c r="C97" i="9"/>
  <c r="V32" i="12"/>
  <c r="H23" i="12" s="1"/>
  <c r="X32" i="12"/>
  <c r="J23" i="12" s="1"/>
  <c r="U32" i="12"/>
  <c r="G23" i="12" s="1"/>
  <c r="W32" i="12"/>
  <c r="I23" i="12" s="1"/>
  <c r="AW16" i="10"/>
  <c r="AV17" i="10"/>
  <c r="AT14" i="10"/>
  <c r="AT15" i="10" s="1"/>
  <c r="AS15" i="10"/>
  <c r="I26" i="10" l="1"/>
  <c r="H27" i="10"/>
  <c r="I27" i="10" s="1"/>
  <c r="M27" i="10"/>
  <c r="L28" i="10"/>
  <c r="AG29" i="10"/>
  <c r="AH28" i="10"/>
  <c r="AW17" i="10"/>
  <c r="AX16" i="10"/>
  <c r="H97" i="9"/>
  <c r="E97" i="9"/>
  <c r="I97" i="9"/>
  <c r="F97" i="9"/>
  <c r="J97" i="9"/>
  <c r="G97" i="9"/>
  <c r="V51" i="22"/>
  <c r="W51" i="22" s="1"/>
  <c r="W50" i="22"/>
  <c r="Y26" i="22" s="1"/>
  <c r="Y27" i="22" s="1"/>
  <c r="Y28" i="22" s="1"/>
  <c r="K6" i="22" s="1"/>
  <c r="AH51" i="10"/>
  <c r="AG52" i="10"/>
  <c r="F96" i="9"/>
  <c r="J96" i="9"/>
  <c r="G96" i="9"/>
  <c r="I96" i="9"/>
  <c r="E96" i="9"/>
  <c r="H96" i="9"/>
  <c r="AY16" i="10" l="1"/>
  <c r="AY17" i="10" s="1"/>
  <c r="AX17" i="10"/>
  <c r="M28" i="10"/>
  <c r="L29" i="10"/>
  <c r="AG53" i="10"/>
  <c r="AH53" i="10" s="1"/>
  <c r="AH52" i="10"/>
  <c r="AG30" i="10"/>
  <c r="AH30" i="10" s="1"/>
  <c r="AH29" i="10"/>
  <c r="M29" i="10" l="1"/>
  <c r="L30" i="10"/>
  <c r="M30" i="10" l="1"/>
  <c r="L31" i="10"/>
  <c r="M31" i="10" s="1"/>
</calcChain>
</file>

<file path=xl/comments1.xml><?xml version="1.0" encoding="utf-8"?>
<comments xmlns="http://schemas.openxmlformats.org/spreadsheetml/2006/main">
  <authors>
    <author>Vincent TASTET</author>
  </authors>
  <commentList>
    <comment ref="B1" authorId="0">
      <text>
        <r>
          <rPr>
            <sz val="8"/>
            <color indexed="81"/>
            <rFont val="Tahoma"/>
          </rPr>
          <t xml:space="preserve">
</t>
        </r>
      </text>
    </comment>
  </commentList>
</comments>
</file>

<file path=xl/comments10.xml><?xml version="1.0" encoding="utf-8"?>
<comments xmlns="http://schemas.openxmlformats.org/spreadsheetml/2006/main">
  <authors>
    <author>Vincent TASTET</author>
  </authors>
  <commentList>
    <comment ref="D4" authorId="0">
      <text>
        <r>
          <rPr>
            <sz val="8"/>
            <color indexed="81"/>
            <rFont val="Tahoma"/>
          </rPr>
          <t xml:space="preserve">
</t>
        </r>
      </text>
    </comment>
    <comment ref="D9"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D10" authorId="0">
      <text>
        <r>
          <rPr>
            <sz val="8"/>
            <color indexed="81"/>
            <rFont val="Tahoma"/>
          </rPr>
          <t xml:space="preserve">
</t>
        </r>
      </text>
    </comment>
    <comment ref="A15" authorId="0">
      <text>
        <r>
          <rPr>
            <sz val="20"/>
            <color indexed="81"/>
            <rFont val="Tahoma"/>
            <family val="2"/>
          </rPr>
          <t xml:space="preserve">Rk résistance pour </t>
        </r>
        <r>
          <rPr>
            <b/>
            <u/>
            <sz val="20"/>
            <color indexed="10"/>
            <rFont val="Tahoma"/>
            <family val="2"/>
          </rPr>
          <t>1</t>
        </r>
        <r>
          <rPr>
            <sz val="20"/>
            <color indexed="81"/>
            <rFont val="Tahoma"/>
            <family val="2"/>
          </rPr>
          <t xml:space="preserve"> plan cisaillé</t>
        </r>
        <r>
          <rPr>
            <sz val="8"/>
            <color indexed="81"/>
            <rFont val="Tahoma"/>
          </rPr>
          <t xml:space="preserve">
</t>
        </r>
      </text>
    </comment>
  </commentList>
</comments>
</file>

<file path=xl/comments11.xml><?xml version="1.0" encoding="utf-8"?>
<comments xmlns="http://schemas.openxmlformats.org/spreadsheetml/2006/main">
  <authors>
    <author>Vincent TASTET</author>
  </authors>
  <commentList>
    <comment ref="D4" authorId="0">
      <text>
        <r>
          <rPr>
            <sz val="8"/>
            <color indexed="81"/>
            <rFont val="Tahoma"/>
          </rPr>
          <t xml:space="preserve">
</t>
        </r>
      </text>
    </comment>
    <comment ref="D6" authorId="0">
      <text>
        <r>
          <rPr>
            <sz val="8"/>
            <color indexed="81"/>
            <rFont val="Tahoma"/>
          </rPr>
          <t xml:space="preserve">
</t>
        </r>
      </text>
    </comment>
    <comment ref="D10"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D11" authorId="0">
      <text>
        <r>
          <rPr>
            <sz val="8"/>
            <color indexed="81"/>
            <rFont val="Tahoma"/>
          </rPr>
          <t xml:space="preserve">
</t>
        </r>
      </text>
    </comment>
    <comment ref="A16" authorId="0">
      <text>
        <r>
          <rPr>
            <sz val="20"/>
            <color indexed="81"/>
            <rFont val="Tahoma"/>
            <family val="2"/>
          </rPr>
          <t xml:space="preserve">Rk résistance pour </t>
        </r>
        <r>
          <rPr>
            <b/>
            <u/>
            <sz val="20"/>
            <color indexed="10"/>
            <rFont val="Tahoma"/>
            <family val="2"/>
          </rPr>
          <t>1</t>
        </r>
        <r>
          <rPr>
            <sz val="20"/>
            <color indexed="81"/>
            <rFont val="Tahoma"/>
            <family val="2"/>
          </rPr>
          <t xml:space="preserve"> plan cisaillé</t>
        </r>
        <r>
          <rPr>
            <sz val="8"/>
            <color indexed="81"/>
            <rFont val="Tahoma"/>
          </rPr>
          <t xml:space="preserve">
</t>
        </r>
      </text>
    </comment>
  </commentList>
</comments>
</file>

<file path=xl/comments12.xml><?xml version="1.0" encoding="utf-8"?>
<comments xmlns="http://schemas.openxmlformats.org/spreadsheetml/2006/main">
  <authors>
    <author>Vincent TASTET</author>
  </authors>
  <commentList>
    <comment ref="D3" authorId="0">
      <text>
        <r>
          <rPr>
            <sz val="8"/>
            <color indexed="81"/>
            <rFont val="Tahoma"/>
          </rPr>
          <t xml:space="preserve">
</t>
        </r>
      </text>
    </comment>
    <comment ref="D8"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D9" authorId="0">
      <text>
        <r>
          <rPr>
            <sz val="8"/>
            <color indexed="81"/>
            <rFont val="Tahoma"/>
          </rPr>
          <t xml:space="preserve">
</t>
        </r>
      </text>
    </comment>
    <comment ref="A13" authorId="0">
      <text>
        <r>
          <rPr>
            <b/>
            <sz val="18"/>
            <color indexed="81"/>
            <rFont val="Tahoma"/>
            <family val="2"/>
          </rPr>
          <t xml:space="preserve">Rk ou Rd résistance pour </t>
        </r>
        <r>
          <rPr>
            <b/>
            <u/>
            <sz val="18"/>
            <color indexed="10"/>
            <rFont val="Tahoma"/>
            <family val="2"/>
          </rPr>
          <t>1</t>
        </r>
        <r>
          <rPr>
            <b/>
            <sz val="18"/>
            <color indexed="10"/>
            <rFont val="Tahoma"/>
            <family val="2"/>
          </rPr>
          <t xml:space="preserve"> </t>
        </r>
        <r>
          <rPr>
            <b/>
            <sz val="18"/>
            <color indexed="81"/>
            <rFont val="Tahoma"/>
            <family val="2"/>
          </rPr>
          <t>plan cisaillé</t>
        </r>
        <r>
          <rPr>
            <sz val="8"/>
            <color indexed="81"/>
            <rFont val="Tahoma"/>
          </rPr>
          <t xml:space="preserve">
</t>
        </r>
      </text>
    </comment>
  </commentList>
</comments>
</file>

<file path=xl/comments13.xml><?xml version="1.0" encoding="utf-8"?>
<comments xmlns="http://schemas.openxmlformats.org/spreadsheetml/2006/main">
  <authors>
    <author>Vincent TASTET</author>
  </authors>
  <commentList>
    <comment ref="D3" authorId="0">
      <text>
        <r>
          <rPr>
            <sz val="8"/>
            <color indexed="81"/>
            <rFont val="Tahoma"/>
          </rPr>
          <t xml:space="preserve">
</t>
        </r>
      </text>
    </comment>
    <comment ref="D4" authorId="0">
      <text>
        <r>
          <rPr>
            <sz val="8"/>
            <color indexed="81"/>
            <rFont val="Tahoma"/>
          </rPr>
          <t xml:space="preserve">
</t>
        </r>
      </text>
    </comment>
    <comment ref="D7"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D8" authorId="0">
      <text>
        <r>
          <rPr>
            <sz val="8"/>
            <color indexed="81"/>
            <rFont val="Tahoma"/>
          </rPr>
          <t xml:space="preserve">
</t>
        </r>
      </text>
    </comment>
    <comment ref="A11" authorId="0">
      <text>
        <r>
          <rPr>
            <b/>
            <sz val="18"/>
            <color indexed="81"/>
            <rFont val="Tahoma"/>
            <family val="2"/>
          </rPr>
          <t xml:space="preserve">Rk ou Rd résistance pour </t>
        </r>
        <r>
          <rPr>
            <b/>
            <sz val="18"/>
            <color indexed="10"/>
            <rFont val="Tahoma"/>
            <family val="2"/>
          </rPr>
          <t xml:space="preserve">1 </t>
        </r>
        <r>
          <rPr>
            <b/>
            <sz val="18"/>
            <color indexed="81"/>
            <rFont val="Tahoma"/>
            <family val="2"/>
          </rPr>
          <t>plan cisaillé</t>
        </r>
      </text>
    </comment>
  </commentList>
</comments>
</file>

<file path=xl/comments14.xml><?xml version="1.0" encoding="utf-8"?>
<comments xmlns="http://schemas.openxmlformats.org/spreadsheetml/2006/main">
  <authors>
    <author>Vincent TASTET</author>
  </authors>
  <commentList>
    <comment ref="D3" authorId="0">
      <text>
        <r>
          <rPr>
            <sz val="8"/>
            <color indexed="81"/>
            <rFont val="Tahoma"/>
          </rPr>
          <t xml:space="preserve">
</t>
        </r>
      </text>
    </comment>
    <comment ref="D8"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D9" authorId="0">
      <text>
        <r>
          <rPr>
            <sz val="8"/>
            <color indexed="81"/>
            <rFont val="Tahoma"/>
          </rPr>
          <t xml:space="preserve">
</t>
        </r>
      </text>
    </comment>
    <comment ref="A13" authorId="0">
      <text>
        <r>
          <rPr>
            <b/>
            <sz val="18"/>
            <color indexed="81"/>
            <rFont val="Tahoma"/>
            <family val="2"/>
          </rPr>
          <t xml:space="preserve">Rk ou Rd résistance pour </t>
        </r>
        <r>
          <rPr>
            <b/>
            <u/>
            <sz val="18"/>
            <color indexed="10"/>
            <rFont val="Tahoma"/>
            <family val="2"/>
          </rPr>
          <t>1</t>
        </r>
        <r>
          <rPr>
            <b/>
            <sz val="18"/>
            <color indexed="81"/>
            <rFont val="Tahoma"/>
            <family val="2"/>
          </rPr>
          <t xml:space="preserve"> plan cisaillé</t>
        </r>
        <r>
          <rPr>
            <sz val="18"/>
            <color indexed="81"/>
            <rFont val="Tahoma"/>
            <family val="2"/>
          </rPr>
          <t xml:space="preserve">
</t>
        </r>
      </text>
    </comment>
  </commentList>
</comments>
</file>

<file path=xl/comments15.xml><?xml version="1.0" encoding="utf-8"?>
<comments xmlns="http://schemas.openxmlformats.org/spreadsheetml/2006/main">
  <authors>
    <author>Vincent TASTET</author>
  </authors>
  <commentList>
    <comment ref="J3" authorId="0">
      <text>
        <r>
          <rPr>
            <b/>
            <sz val="10"/>
            <color indexed="48"/>
            <rFont val="Tahoma"/>
            <family val="2"/>
          </rPr>
          <t>minimum 4ø</t>
        </r>
        <r>
          <rPr>
            <b/>
            <sz val="8"/>
            <color indexed="81"/>
            <rFont val="Tahoma"/>
            <family val="2"/>
          </rPr>
          <t xml:space="preserve">
</t>
        </r>
      </text>
    </comment>
    <comment ref="J4" authorId="0">
      <text>
        <r>
          <rPr>
            <b/>
            <sz val="8"/>
            <color indexed="48"/>
            <rFont val="Tahoma"/>
            <family val="2"/>
          </rPr>
          <t>Sans avant trou :</t>
        </r>
        <r>
          <rPr>
            <b/>
            <sz val="12"/>
            <color indexed="48"/>
            <rFont val="Tahoma"/>
            <family val="2"/>
          </rPr>
          <t xml:space="preserve"> 1</t>
        </r>
        <r>
          <rPr>
            <b/>
            <sz val="8"/>
            <color indexed="48"/>
            <rFont val="Tahoma"/>
            <family val="2"/>
          </rPr>
          <t xml:space="preserve">
Avec avant trou : </t>
        </r>
        <r>
          <rPr>
            <b/>
            <sz val="11"/>
            <color indexed="48"/>
            <rFont val="Tahoma"/>
            <family val="2"/>
          </rPr>
          <t>2</t>
        </r>
        <r>
          <rPr>
            <sz val="8"/>
            <color indexed="81"/>
            <rFont val="Tahoma"/>
          </rPr>
          <t xml:space="preserve">
</t>
        </r>
      </text>
    </comment>
    <comment ref="E21" authorId="0">
      <text>
        <r>
          <rPr>
            <b/>
            <sz val="8"/>
            <color indexed="81"/>
            <rFont val="Tahoma"/>
          </rPr>
          <t>Espacement mini sur le bois</t>
        </r>
        <r>
          <rPr>
            <sz val="8"/>
            <color indexed="81"/>
            <rFont val="Tahoma"/>
          </rPr>
          <t xml:space="preserve">
</t>
        </r>
      </text>
    </comment>
    <comment ref="K24" authorId="0">
      <text>
        <r>
          <rPr>
            <sz val="8"/>
            <color indexed="81"/>
            <rFont val="Tahoma"/>
          </rPr>
          <t xml:space="preserve">Espacement mini sur le panneau CP ou OSB
</t>
        </r>
      </text>
    </comment>
  </commentList>
</comments>
</file>

<file path=xl/comments16.xml><?xml version="1.0" encoding="utf-8"?>
<comments xmlns="http://schemas.openxmlformats.org/spreadsheetml/2006/main">
  <authors>
    <author>Vincent TASTET</author>
  </authors>
  <commentList>
    <comment ref="D5" authorId="0">
      <text>
        <r>
          <rPr>
            <sz val="8"/>
            <color indexed="81"/>
            <rFont val="Tahoma"/>
          </rPr>
          <t xml:space="preserve">
</t>
        </r>
      </text>
    </comment>
    <comment ref="D6" authorId="0">
      <text>
        <r>
          <rPr>
            <sz val="8"/>
            <color indexed="81"/>
            <rFont val="Tahoma"/>
          </rPr>
          <t xml:space="preserve">
</t>
        </r>
      </text>
    </comment>
    <comment ref="D7" authorId="0">
      <text>
        <r>
          <rPr>
            <sz val="8"/>
            <color indexed="81"/>
            <rFont val="Tahoma"/>
          </rPr>
          <t xml:space="preserve">
</t>
        </r>
      </text>
    </comment>
    <comment ref="D8" authorId="0">
      <text>
        <r>
          <rPr>
            <sz val="8"/>
            <color indexed="81"/>
            <rFont val="Tahoma"/>
          </rPr>
          <t xml:space="preserve">
</t>
        </r>
      </text>
    </comment>
    <comment ref="D12"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List>
</comments>
</file>

<file path=xl/comments17.xml><?xml version="1.0" encoding="utf-8"?>
<comments xmlns="http://schemas.openxmlformats.org/spreadsheetml/2006/main">
  <authors>
    <author>Vincent TASTET</author>
  </authors>
  <commentList>
    <comment ref="D6" authorId="0">
      <text>
        <r>
          <rPr>
            <sz val="8"/>
            <color indexed="81"/>
            <rFont val="Tahoma"/>
          </rPr>
          <t xml:space="preserve">
</t>
        </r>
      </text>
    </comment>
    <comment ref="D7" authorId="0">
      <text>
        <r>
          <rPr>
            <sz val="8"/>
            <color indexed="81"/>
            <rFont val="Tahoma"/>
          </rPr>
          <t xml:space="preserve">
</t>
        </r>
      </text>
    </comment>
    <comment ref="D14"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List>
</comments>
</file>

<file path=xl/comments18.xml><?xml version="1.0" encoding="utf-8"?>
<comments xmlns="http://schemas.openxmlformats.org/spreadsheetml/2006/main">
  <authors>
    <author>Vincent TASTET</author>
  </authors>
  <commentList>
    <comment ref="D3" authorId="0">
      <text>
        <r>
          <rPr>
            <sz val="8"/>
            <color indexed="81"/>
            <rFont val="Tahoma"/>
          </rPr>
          <t xml:space="preserve">
</t>
        </r>
      </text>
    </comment>
    <comment ref="D8"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D9" authorId="0">
      <text>
        <r>
          <rPr>
            <b/>
            <sz val="8"/>
            <color indexed="81"/>
            <rFont val="Tahoma"/>
          </rPr>
          <t>Généralement 600 MPa</t>
        </r>
        <r>
          <rPr>
            <sz val="8"/>
            <color indexed="81"/>
            <rFont val="Tahoma"/>
          </rPr>
          <t xml:space="preserve">
</t>
        </r>
      </text>
    </comment>
  </commentList>
</comments>
</file>

<file path=xl/comments19.xml><?xml version="1.0" encoding="utf-8"?>
<comments xmlns="http://schemas.openxmlformats.org/spreadsheetml/2006/main">
  <authors>
    <author>Vincent TASTET</author>
  </authors>
  <commentList>
    <comment ref="D4" authorId="0">
      <text>
        <r>
          <rPr>
            <sz val="8"/>
            <color indexed="81"/>
            <rFont val="Tahoma"/>
          </rPr>
          <t xml:space="preserve">
</t>
        </r>
      </text>
    </comment>
    <comment ref="D7"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9" authorId="0">
      <text>
        <r>
          <rPr>
            <b/>
            <sz val="16"/>
            <color indexed="81"/>
            <rFont val="Tahoma"/>
            <family val="2"/>
          </rPr>
          <t>nef = nb^0.9</t>
        </r>
        <r>
          <rPr>
            <sz val="8"/>
            <color indexed="81"/>
            <rFont val="Tahoma"/>
          </rPr>
          <t xml:space="preserve">
</t>
        </r>
      </text>
    </comment>
  </commentList>
</comments>
</file>

<file path=xl/comments2.xml><?xml version="1.0" encoding="utf-8"?>
<comments xmlns="http://schemas.openxmlformats.org/spreadsheetml/2006/main">
  <authors>
    <author>Vincent TASTET</author>
  </authors>
  <commentList>
    <comment ref="B1" authorId="0">
      <text>
        <r>
          <rPr>
            <sz val="8"/>
            <color indexed="81"/>
            <rFont val="Tahoma"/>
          </rPr>
          <t xml:space="preserve">
</t>
        </r>
      </text>
    </comment>
  </commentList>
</comments>
</file>

<file path=xl/comments20.xml><?xml version="1.0" encoding="utf-8"?>
<comments xmlns="http://schemas.openxmlformats.org/spreadsheetml/2006/main">
  <authors>
    <author>Vincent TASTET</author>
  </authors>
  <commentList>
    <comment ref="D11" authorId="0">
      <text>
        <r>
          <rPr>
            <b/>
            <sz val="9"/>
            <color indexed="81"/>
            <rFont val="Tahoma"/>
            <family val="2"/>
          </rPr>
          <t>l'EC5 permet de réduire a1 de deux manières :
- si placement en quiconce, voir ci-dessous.
- par un facteur ka1compris entre 0.5 et 1, alors on réduira également la résistance par un facteur kR,red.</t>
        </r>
        <r>
          <rPr>
            <sz val="8"/>
            <color indexed="81"/>
            <rFont val="Tahoma"/>
          </rPr>
          <t xml:space="preserve">
</t>
        </r>
      </text>
    </comment>
    <comment ref="G15" authorId="0">
      <text>
        <r>
          <rPr>
            <b/>
            <sz val="8"/>
            <color indexed="81"/>
            <rFont val="Tahoma"/>
            <family val="2"/>
          </rPr>
          <t>POSSIBILITE DE REDUIRE a1</t>
        </r>
        <r>
          <rPr>
            <sz val="8"/>
            <color indexed="81"/>
            <rFont val="Tahoma"/>
          </rPr>
          <t xml:space="preserve">
Indiquer a1 et a2 minimum réglementaire.
Indiquer le nouvel a1 réduit.
a2 sera calculé automatiquement</t>
        </r>
      </text>
    </comment>
    <comment ref="G23" authorId="0">
      <text>
        <r>
          <rPr>
            <sz val="8"/>
            <color indexed="81"/>
            <rFont val="Tahoma"/>
          </rPr>
          <t>Indiquer a1 et a2, le tableur affichera si les assembleurs sont considérés comme // au fil du bois</t>
        </r>
      </text>
    </comment>
  </commentList>
</comments>
</file>

<file path=xl/comments21.xml><?xml version="1.0" encoding="utf-8"?>
<comments xmlns="http://schemas.openxmlformats.org/spreadsheetml/2006/main">
  <authors>
    <author>Vincent TASTET</author>
  </authors>
  <commentList>
    <comment ref="D7" authorId="0">
      <text>
        <r>
          <rPr>
            <sz val="8"/>
            <color indexed="81"/>
            <rFont val="Tahoma"/>
          </rPr>
          <t xml:space="preserve">
</t>
        </r>
      </text>
    </comment>
    <comment ref="D8" authorId="0">
      <text>
        <r>
          <rPr>
            <sz val="8"/>
            <color indexed="81"/>
            <rFont val="Tahoma"/>
          </rPr>
          <t xml:space="preserve">
</t>
        </r>
      </text>
    </comment>
    <comment ref="D9" authorId="0">
      <text>
        <r>
          <rPr>
            <sz val="8"/>
            <color indexed="81"/>
            <rFont val="Tahoma"/>
          </rPr>
          <t xml:space="preserve">
</t>
        </r>
      </text>
    </comment>
    <comment ref="D10" authorId="0">
      <text>
        <r>
          <rPr>
            <sz val="8"/>
            <color indexed="81"/>
            <rFont val="Tahoma"/>
          </rPr>
          <t xml:space="preserve">
</t>
        </r>
      </text>
    </comment>
    <comment ref="D13"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15" authorId="0">
      <text>
        <r>
          <rPr>
            <b/>
            <sz val="9"/>
            <color indexed="81"/>
            <rFont val="Tahoma"/>
            <family val="2"/>
          </rPr>
          <t>Possibilité de réduire a1 par un facteur ks compris entre 0,5 et 1. 
On multipliera alors la résistance par (0.2 + 0.8 ks).
Dans la feuille, porter simplement ks compris entre 0,5  et 1</t>
        </r>
      </text>
    </comment>
  </commentList>
</comments>
</file>

<file path=xl/comments22.xml><?xml version="1.0" encoding="utf-8"?>
<comments xmlns="http://schemas.openxmlformats.org/spreadsheetml/2006/main">
  <authors>
    <author>Vincent TASTET</author>
  </authors>
  <commentList>
    <comment ref="D7" authorId="0">
      <text>
        <r>
          <rPr>
            <sz val="8"/>
            <color indexed="81"/>
            <rFont val="Tahoma"/>
          </rPr>
          <t xml:space="preserve">
</t>
        </r>
      </text>
    </comment>
    <comment ref="D8" authorId="0">
      <text>
        <r>
          <rPr>
            <sz val="8"/>
            <color indexed="81"/>
            <rFont val="Tahoma"/>
          </rPr>
          <t xml:space="preserve">
</t>
        </r>
      </text>
    </comment>
    <comment ref="D9" authorId="0">
      <text>
        <r>
          <rPr>
            <sz val="8"/>
            <color indexed="81"/>
            <rFont val="Tahoma"/>
          </rPr>
          <t xml:space="preserve">
</t>
        </r>
      </text>
    </comment>
    <comment ref="D10"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D14" authorId="0">
      <text>
        <r>
          <rPr>
            <sz val="8"/>
            <color indexed="10"/>
            <rFont val="Tahoma"/>
            <family val="2"/>
          </rPr>
          <t>ATTENTION POUR LE DECOMPTE DU NB DE CRAMPONS, C'EST LE NB DE PLAN DE CISAILLEMENT QU'IL FAUT COMPTABILISER</t>
        </r>
        <r>
          <rPr>
            <sz val="8"/>
            <color indexed="81"/>
            <rFont val="Tahoma"/>
          </rPr>
          <t xml:space="preserve">.
</t>
        </r>
      </text>
    </comment>
  </commentList>
</comments>
</file>

<file path=xl/comments23.xml><?xml version="1.0" encoding="utf-8"?>
<comments xmlns="http://schemas.openxmlformats.org/spreadsheetml/2006/main">
  <authors>
    <author>Vincent TASTET</author>
  </authors>
  <commentList>
    <comment ref="D6" authorId="0">
      <text>
        <r>
          <rPr>
            <sz val="8"/>
            <color indexed="81"/>
            <rFont val="Tahoma"/>
          </rPr>
          <t xml:space="preserve">
</t>
        </r>
      </text>
    </comment>
    <comment ref="D8"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List>
</comments>
</file>

<file path=xl/comments24.xml><?xml version="1.0" encoding="utf-8"?>
<comments xmlns="http://schemas.openxmlformats.org/spreadsheetml/2006/main">
  <authors>
    <author>Vincent TASTET</author>
  </authors>
  <commentList>
    <comment ref="D2" authorId="0">
      <text>
        <r>
          <rPr>
            <b/>
            <sz val="8"/>
            <color indexed="81"/>
            <rFont val="Tahoma"/>
          </rPr>
          <t>généralement 500 kg/m3</t>
        </r>
      </text>
    </comment>
    <comment ref="D3" authorId="0">
      <text>
        <r>
          <rPr>
            <sz val="8"/>
            <color indexed="81"/>
            <rFont val="Tahoma"/>
          </rPr>
          <t xml:space="preserve">
</t>
        </r>
      </text>
    </comment>
    <comment ref="D7"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D8" authorId="0">
      <text>
        <r>
          <rPr>
            <sz val="8"/>
            <color indexed="81"/>
            <rFont val="Tahoma"/>
          </rPr>
          <t xml:space="preserve">
</t>
        </r>
      </text>
    </comment>
    <comment ref="A13" authorId="0">
      <text>
        <r>
          <rPr>
            <sz val="20"/>
            <color indexed="81"/>
            <rFont val="Tahoma"/>
            <family val="2"/>
          </rPr>
          <t xml:space="preserve">Rk résistance pour </t>
        </r>
        <r>
          <rPr>
            <b/>
            <u/>
            <sz val="20"/>
            <color indexed="10"/>
            <rFont val="Tahoma"/>
            <family val="2"/>
          </rPr>
          <t>1</t>
        </r>
        <r>
          <rPr>
            <sz val="20"/>
            <color indexed="81"/>
            <rFont val="Tahoma"/>
            <family val="2"/>
          </rPr>
          <t xml:space="preserve"> plan cisaillé</t>
        </r>
        <r>
          <rPr>
            <sz val="8"/>
            <color indexed="81"/>
            <rFont val="Tahoma"/>
          </rPr>
          <t xml:space="preserve">
</t>
        </r>
      </text>
    </comment>
  </commentList>
</comments>
</file>

<file path=xl/comments25.xml><?xml version="1.0" encoding="utf-8"?>
<comments xmlns="http://schemas.openxmlformats.org/spreadsheetml/2006/main">
  <authors>
    <author>Vincent TASTET</author>
  </authors>
  <commentList>
    <comment ref="C9" authorId="0">
      <text>
        <r>
          <rPr>
            <sz val="8"/>
            <color indexed="81"/>
            <rFont val="Tahoma"/>
          </rPr>
          <t xml:space="preserve">
</t>
        </r>
      </text>
    </comment>
    <comment ref="C10"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11"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 ref="C14" authorId="0">
      <text>
        <r>
          <rPr>
            <sz val="8"/>
            <color indexed="12"/>
            <rFont val="Tahoma"/>
            <family val="2"/>
          </rPr>
          <t>Coefficient Kls
Lorsque plusieurs éléments porteurs de même nature et de même fonction (solives, fermes) sont sollicités par un même type de chargement réparti uniformément , la résistance de l’ensemble est supérieure à la résistance d’un seul élément pris isolément, c’est l’ effet système. Nous limiterons son application</t>
        </r>
        <r>
          <rPr>
            <b/>
            <u/>
            <sz val="8"/>
            <color indexed="12"/>
            <rFont val="Tahoma"/>
            <family val="2"/>
          </rPr>
          <t xml:space="preserve"> aux solives et fermes assemblées par connecteurs</t>
        </r>
        <r>
          <rPr>
            <sz val="8"/>
            <color indexed="12"/>
            <rFont val="Tahoma"/>
            <family val="2"/>
          </rPr>
          <t>.
L’EC5 prévoit l’application du coef</t>
        </r>
        <r>
          <rPr>
            <b/>
            <sz val="10"/>
            <color indexed="12"/>
            <rFont val="Tahoma"/>
            <family val="2"/>
          </rPr>
          <t xml:space="preserve"> </t>
        </r>
        <r>
          <rPr>
            <b/>
            <sz val="10"/>
            <color indexed="10"/>
            <rFont val="Tahoma"/>
            <family val="2"/>
          </rPr>
          <t>1,1</t>
        </r>
        <r>
          <rPr>
            <sz val="8"/>
            <color indexed="12"/>
            <rFont val="Tahoma"/>
            <family val="2"/>
          </rPr>
          <t xml:space="preserve">. Pour les autres cas , prendre </t>
        </r>
        <r>
          <rPr>
            <b/>
            <sz val="11"/>
            <color indexed="10"/>
            <rFont val="Tahoma"/>
            <family val="2"/>
          </rPr>
          <t>1</t>
        </r>
        <r>
          <rPr>
            <sz val="8"/>
            <color indexed="12"/>
            <rFont val="Tahoma"/>
            <family val="2"/>
          </rPr>
          <t xml:space="preserve">.
</t>
        </r>
        <r>
          <rPr>
            <b/>
            <u/>
            <sz val="12"/>
            <color indexed="10"/>
            <rFont val="Tahoma"/>
            <family val="2"/>
          </rPr>
          <t>NOUS PRENDRONS GENERALEMENT 1</t>
        </r>
      </text>
    </comment>
  </commentList>
</comments>
</file>

<file path=xl/comments26.xml><?xml version="1.0" encoding="utf-8"?>
<comments xmlns="http://schemas.openxmlformats.org/spreadsheetml/2006/main">
  <authors>
    <author>Vincent TASTET</author>
  </authors>
  <commentList>
    <comment ref="C9" authorId="0">
      <text>
        <r>
          <rPr>
            <sz val="8"/>
            <color indexed="81"/>
            <rFont val="Tahoma"/>
          </rPr>
          <t xml:space="preserve">
</t>
        </r>
      </text>
    </comment>
    <comment ref="C10"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11"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 ref="B13" authorId="0">
      <text>
        <r>
          <rPr>
            <sz val="10"/>
            <color indexed="18"/>
            <rFont val="Tahoma"/>
            <family val="2"/>
          </rPr>
          <t>Lors du calcul de kcy, vérifier que lambda</t>
        </r>
        <r>
          <rPr>
            <b/>
            <sz val="12"/>
            <color indexed="18"/>
            <rFont val="Symbol"/>
            <family val="1"/>
            <charset val="2"/>
          </rPr>
          <t xml:space="preserve"> l</t>
        </r>
        <r>
          <rPr>
            <sz val="10"/>
            <color indexed="18"/>
            <rFont val="Tahoma"/>
            <family val="2"/>
          </rPr>
          <t>, élancement mécanique soit &lt; à 120 ou 180</t>
        </r>
        <r>
          <rPr>
            <sz val="8"/>
            <color indexed="81"/>
            <rFont val="Tahoma"/>
          </rPr>
          <t xml:space="preserve">
</t>
        </r>
        <r>
          <rPr>
            <sz val="8"/>
            <color indexed="81"/>
            <rFont val="Tahoma"/>
            <family val="2"/>
          </rPr>
          <t>On limitera lambda</t>
        </r>
        <r>
          <rPr>
            <b/>
            <sz val="12"/>
            <color indexed="81"/>
            <rFont val="Symbol"/>
            <family val="1"/>
            <charset val="2"/>
          </rPr>
          <t xml:space="preserve"> l</t>
        </r>
        <r>
          <rPr>
            <sz val="8"/>
            <color indexed="81"/>
            <rFont val="Tahoma"/>
            <family val="2"/>
          </rPr>
          <t xml:space="preserve"> à </t>
        </r>
        <r>
          <rPr>
            <b/>
            <sz val="14"/>
            <color indexed="10"/>
            <rFont val="Tahoma"/>
            <family val="2"/>
          </rPr>
          <t>120</t>
        </r>
        <r>
          <rPr>
            <sz val="8"/>
            <color indexed="81"/>
            <rFont val="Tahoma"/>
            <family val="2"/>
          </rPr>
          <t xml:space="preserve"> pour les toutes les pièces, 
en acceptant toutefois </t>
        </r>
        <r>
          <rPr>
            <b/>
            <sz val="14"/>
            <color indexed="10"/>
            <rFont val="Tahoma"/>
            <family val="2"/>
          </rPr>
          <t>180</t>
        </r>
        <r>
          <rPr>
            <sz val="8"/>
            <color indexed="81"/>
            <rFont val="Tahoma"/>
            <family val="2"/>
          </rPr>
          <t xml:space="preserve"> pour les pièces de contreventement.</t>
        </r>
        <r>
          <rPr>
            <sz val="8"/>
            <color indexed="81"/>
            <rFont val="Tahoma"/>
          </rPr>
          <t xml:space="preserve">
</t>
        </r>
      </text>
    </comment>
    <comment ref="C13" authorId="0">
      <text>
        <r>
          <rPr>
            <b/>
            <sz val="8"/>
            <color indexed="81"/>
            <rFont val="Tahoma"/>
          </rPr>
          <t>Coef de flambement</t>
        </r>
        <r>
          <rPr>
            <sz val="8"/>
            <color indexed="81"/>
            <rFont val="Tahoma"/>
          </rPr>
          <t xml:space="preserve">
</t>
        </r>
      </text>
    </comment>
  </commentList>
</comments>
</file>

<file path=xl/comments27.xml><?xml version="1.0" encoding="utf-8"?>
<comments xmlns="http://schemas.openxmlformats.org/spreadsheetml/2006/main">
  <authors>
    <author>Vincent TASTET</author>
  </authors>
  <commentList>
    <comment ref="C9" authorId="0">
      <text>
        <r>
          <rPr>
            <sz val="8"/>
            <color indexed="81"/>
            <rFont val="Tahoma"/>
          </rPr>
          <t xml:space="preserve">
</t>
        </r>
      </text>
    </comment>
    <comment ref="C10"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11"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 ref="C13" authorId="0">
      <text>
        <r>
          <rPr>
            <b/>
            <sz val="8"/>
            <color indexed="10"/>
            <rFont val="Tahoma"/>
            <family val="2"/>
          </rPr>
          <t>Le coef kh est fonction de h</t>
        </r>
      </text>
    </comment>
  </commentList>
</comments>
</file>

<file path=xl/comments28.xml><?xml version="1.0" encoding="utf-8"?>
<comments xmlns="http://schemas.openxmlformats.org/spreadsheetml/2006/main">
  <authors>
    <author>VINCENT TASTET</author>
    <author>Vincent TASTET</author>
  </authors>
  <commentList>
    <comment ref="C10" authorId="0">
      <text/>
    </comment>
    <comment ref="C22" authorId="1">
      <text>
        <r>
          <rPr>
            <b/>
            <sz val="11"/>
            <color indexed="81"/>
            <rFont val="Tahoma"/>
            <family val="2"/>
          </rPr>
          <t>si BM, 1
si LC, 2</t>
        </r>
      </text>
    </comment>
    <comment ref="C23" authorId="1">
      <text>
        <r>
          <rPr>
            <sz val="8"/>
            <color indexed="81"/>
            <rFont val="Tahoma"/>
          </rPr>
          <t>On utilisera E0,05 parce que nous réalisons un calcul ELU</t>
        </r>
      </text>
    </comment>
  </commentList>
</comments>
</file>

<file path=xl/comments29.xml><?xml version="1.0" encoding="utf-8"?>
<comments xmlns="http://schemas.openxmlformats.org/spreadsheetml/2006/main">
  <authors>
    <author>Vincent TASTET</author>
    <author>VTASTET</author>
  </authors>
  <commentList>
    <comment ref="C3" authorId="0">
      <text>
        <r>
          <rPr>
            <sz val="8"/>
            <color indexed="81"/>
            <rFont val="Tahoma"/>
          </rPr>
          <t xml:space="preserve">he, hauteur efficace
si nécessaire voir cours </t>
        </r>
      </text>
    </comment>
    <comment ref="C4" authorId="1">
      <text>
        <r>
          <rPr>
            <b/>
            <sz val="8"/>
            <color indexed="81"/>
            <rFont val="Tahoma"/>
          </rPr>
          <t xml:space="preserve">be, largeur efficace
</t>
        </r>
        <r>
          <rPr>
            <b/>
            <sz val="12"/>
            <color indexed="10"/>
            <rFont val="Tahoma"/>
            <family val="2"/>
          </rPr>
          <t>0.67</t>
        </r>
        <r>
          <rPr>
            <b/>
            <sz val="8"/>
            <color indexed="81"/>
            <rFont val="Tahoma"/>
          </rPr>
          <t xml:space="preserve"> b pour BM et LC</t>
        </r>
        <r>
          <rPr>
            <sz val="8"/>
            <color indexed="81"/>
            <rFont val="Tahoma"/>
          </rPr>
          <t xml:space="preserve">
</t>
        </r>
      </text>
    </comment>
    <comment ref="C9" authorId="0">
      <text>
        <r>
          <rPr>
            <sz val="8"/>
            <color indexed="81"/>
            <rFont val="Tahoma"/>
          </rPr>
          <t xml:space="preserve">
</t>
        </r>
      </text>
    </comment>
    <comment ref="C10"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11"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List>
</comments>
</file>

<file path=xl/comments3.xml><?xml version="1.0" encoding="utf-8"?>
<comments xmlns="http://schemas.openxmlformats.org/spreadsheetml/2006/main">
  <authors>
    <author>Vincent TASTET</author>
  </authors>
  <commentList>
    <comment ref="I5" authorId="0">
      <text>
        <r>
          <rPr>
            <b/>
            <sz val="8"/>
            <color indexed="52"/>
            <rFont val="Tahoma"/>
            <family val="2"/>
          </rPr>
          <t>Indiquer la nature du vent W+ ou W-.
Si le vent n'est pas pris en compte indiquer ****</t>
        </r>
        <r>
          <rPr>
            <sz val="8"/>
            <color indexed="81"/>
            <rFont val="Tahoma"/>
          </rPr>
          <t xml:space="preserve">
</t>
        </r>
      </text>
    </comment>
  </commentList>
</comments>
</file>

<file path=xl/comments30.xml><?xml version="1.0" encoding="utf-8"?>
<comments xmlns="http://schemas.openxmlformats.org/spreadsheetml/2006/main">
  <authors>
    <author>Vincent TASTET</author>
  </authors>
  <commentList>
    <comment ref="C3" authorId="0">
      <text>
        <r>
          <rPr>
            <sz val="8"/>
            <color indexed="81"/>
            <rFont val="Tahoma"/>
          </rPr>
          <t xml:space="preserve">he, hauteur efficace
si nécessaire voir cours </t>
        </r>
      </text>
    </comment>
    <comment ref="C9" authorId="0">
      <text>
        <r>
          <rPr>
            <sz val="8"/>
            <color indexed="81"/>
            <rFont val="Tahoma"/>
          </rPr>
          <t xml:space="preserve">
</t>
        </r>
      </text>
    </comment>
    <comment ref="C10"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11"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List>
</comments>
</file>

<file path=xl/comments31.xml><?xml version="1.0" encoding="utf-8"?>
<comments xmlns="http://schemas.openxmlformats.org/spreadsheetml/2006/main">
  <authors>
    <author>Vincent TASTET</author>
  </authors>
  <commentList>
    <comment ref="C5" authorId="0">
      <text>
        <r>
          <rPr>
            <b/>
            <sz val="8"/>
            <color indexed="81"/>
            <rFont val="Tahoma"/>
          </rPr>
          <t>En attente de précision, on prendra b² comme section sollicitée en traction transversale (CB71)</t>
        </r>
        <r>
          <rPr>
            <sz val="8"/>
            <color indexed="81"/>
            <rFont val="Tahoma"/>
          </rPr>
          <t xml:space="preserve">
</t>
        </r>
      </text>
    </comment>
    <comment ref="C9" authorId="0">
      <text>
        <r>
          <rPr>
            <sz val="8"/>
            <color indexed="81"/>
            <rFont val="Tahoma"/>
          </rPr>
          <t xml:space="preserve">
</t>
        </r>
      </text>
    </comment>
    <comment ref="C10"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11"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List>
</comments>
</file>

<file path=xl/comments32.xml><?xml version="1.0" encoding="utf-8"?>
<comments xmlns="http://schemas.openxmlformats.org/spreadsheetml/2006/main">
  <authors>
    <author>Vincent TASTET</author>
  </authors>
  <commentList>
    <comment ref="C5" authorId="0">
      <text>
        <r>
          <rPr>
            <b/>
            <sz val="8"/>
            <color indexed="81"/>
            <rFont val="Tahoma"/>
          </rPr>
          <t>Attention aux unités kN.m</t>
        </r>
        <r>
          <rPr>
            <sz val="8"/>
            <color indexed="81"/>
            <rFont val="Tahoma"/>
          </rPr>
          <t xml:space="preserve">
</t>
        </r>
      </text>
    </comment>
    <comment ref="D5" authorId="0">
      <text>
        <r>
          <rPr>
            <b/>
            <sz val="8"/>
            <color indexed="81"/>
            <rFont val="Tahoma"/>
            <family val="2"/>
          </rPr>
          <t>Attention aux unités kN.m</t>
        </r>
      </text>
    </comment>
    <comment ref="C11" authorId="0">
      <text>
        <r>
          <rPr>
            <sz val="8"/>
            <color indexed="81"/>
            <rFont val="Tahoma"/>
          </rPr>
          <t xml:space="preserve">
</t>
        </r>
      </text>
    </comment>
    <comment ref="C12"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13"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 ref="C14" authorId="0">
      <text>
        <r>
          <rPr>
            <sz val="8"/>
            <color indexed="81"/>
            <rFont val="Tahoma"/>
          </rPr>
          <t xml:space="preserve">Coef de plastification :
Prendre </t>
        </r>
        <r>
          <rPr>
            <b/>
            <sz val="8"/>
            <color indexed="81"/>
            <rFont val="Tahoma"/>
            <family val="2"/>
          </rPr>
          <t>0.7 pour les sections rectangulaires</t>
        </r>
        <r>
          <rPr>
            <sz val="8"/>
            <color indexed="81"/>
            <rFont val="Tahoma"/>
          </rPr>
          <t xml:space="preserve"> et 1 pour les autres sections
</t>
        </r>
      </text>
    </comment>
    <comment ref="C15" authorId="0">
      <text>
        <r>
          <rPr>
            <b/>
            <sz val="8"/>
            <color indexed="81"/>
            <rFont val="Tahoma"/>
            <family val="2"/>
          </rPr>
          <t>Kh selon hauteur pour axe for</t>
        </r>
        <r>
          <rPr>
            <sz val="8"/>
            <color indexed="81"/>
            <rFont val="Tahoma"/>
          </rPr>
          <t xml:space="preserve">t
</t>
        </r>
      </text>
    </comment>
    <comment ref="C17" authorId="0">
      <text>
        <r>
          <rPr>
            <sz val="8"/>
            <color indexed="12"/>
            <rFont val="Tahoma"/>
            <family val="2"/>
          </rPr>
          <t xml:space="preserve">Coefficient Kls
DANS LE CAS DE LA FLEXION OBLIQUE L'EFFET SYTEME N'EST PAS PERTINENT
</t>
        </r>
        <r>
          <rPr>
            <b/>
            <u/>
            <sz val="12"/>
            <color indexed="10"/>
            <rFont val="Tahoma"/>
            <family val="2"/>
          </rPr>
          <t>NOUS PRENDRONS 1</t>
        </r>
      </text>
    </comment>
    <comment ref="C18" authorId="0">
      <text>
        <r>
          <rPr>
            <b/>
            <sz val="9"/>
            <color indexed="12"/>
            <rFont val="Tahoma"/>
            <family val="2"/>
          </rPr>
          <t xml:space="preserve">Le coef de déversement n'est pas pertinent pour de la flexion oblique.
</t>
        </r>
        <r>
          <rPr>
            <b/>
            <sz val="9"/>
            <color indexed="10"/>
            <rFont val="Tahoma"/>
            <family val="2"/>
          </rPr>
          <t>NOUS PRENDRONS 1</t>
        </r>
      </text>
    </comment>
  </commentList>
</comments>
</file>

<file path=xl/comments33.xml><?xml version="1.0" encoding="utf-8"?>
<comments xmlns="http://schemas.openxmlformats.org/spreadsheetml/2006/main">
  <authors>
    <author>Vincent TASTET</author>
  </authors>
  <commentList>
    <comment ref="C5" authorId="0">
      <text>
        <r>
          <rPr>
            <b/>
            <sz val="8"/>
            <color indexed="81"/>
            <rFont val="Tahoma"/>
          </rPr>
          <t>Attention aux unités kN.m</t>
        </r>
        <r>
          <rPr>
            <sz val="8"/>
            <color indexed="81"/>
            <rFont val="Tahoma"/>
          </rPr>
          <t xml:space="preserve">
</t>
        </r>
      </text>
    </comment>
    <comment ref="D5" authorId="0">
      <text>
        <r>
          <rPr>
            <b/>
            <sz val="8"/>
            <color indexed="81"/>
            <rFont val="Tahoma"/>
            <family val="2"/>
          </rPr>
          <t xml:space="preserve">Attention aux unités kN.m
SI PAS DE CHARGEMENT PERPENDICULAIREMENT A L'AXE FAIBLE PORTER </t>
        </r>
        <r>
          <rPr>
            <b/>
            <sz val="14"/>
            <color indexed="81"/>
            <rFont val="Tahoma"/>
            <family val="2"/>
          </rPr>
          <t>0</t>
        </r>
        <r>
          <rPr>
            <b/>
            <sz val="8"/>
            <color indexed="81"/>
            <rFont val="Tahoma"/>
            <family val="2"/>
          </rPr>
          <t xml:space="preserve"> </t>
        </r>
      </text>
    </comment>
    <comment ref="C11" authorId="0">
      <text>
        <r>
          <rPr>
            <sz val="8"/>
            <color indexed="81"/>
            <rFont val="Tahoma"/>
          </rPr>
          <t xml:space="preserve">
</t>
        </r>
      </text>
    </comment>
    <comment ref="C12" authorId="0">
      <text>
        <r>
          <rPr>
            <sz val="8"/>
            <color indexed="81"/>
            <rFont val="Tahoma"/>
          </rPr>
          <t xml:space="preserve">
</t>
        </r>
      </text>
    </comment>
    <comment ref="C13"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14"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 ref="C15" authorId="0">
      <text>
        <r>
          <rPr>
            <sz val="8"/>
            <color indexed="81"/>
            <rFont val="Tahoma"/>
          </rPr>
          <t xml:space="preserve">Coef de plastification :
Prendre </t>
        </r>
        <r>
          <rPr>
            <b/>
            <sz val="8"/>
            <color indexed="81"/>
            <rFont val="Tahoma"/>
            <family val="2"/>
          </rPr>
          <t>0.7 pour les sections rectangulaires</t>
        </r>
        <r>
          <rPr>
            <sz val="8"/>
            <color indexed="81"/>
            <rFont val="Tahoma"/>
          </rPr>
          <t xml:space="preserve"> et 1 pour les autres sections
</t>
        </r>
      </text>
    </comment>
    <comment ref="C16" authorId="0">
      <text>
        <r>
          <rPr>
            <b/>
            <sz val="8"/>
            <color indexed="81"/>
            <rFont val="Tahoma"/>
            <family val="2"/>
          </rPr>
          <t>Kh selon hauteur pour axe for</t>
        </r>
        <r>
          <rPr>
            <sz val="8"/>
            <color indexed="81"/>
            <rFont val="Tahoma"/>
          </rPr>
          <t xml:space="preserve">t
</t>
        </r>
      </text>
    </comment>
    <comment ref="C17" authorId="0">
      <text>
        <r>
          <rPr>
            <b/>
            <sz val="8"/>
            <color indexed="81"/>
            <rFont val="Tahoma"/>
          </rPr>
          <t>Kh selon hauteur pour axe faible</t>
        </r>
        <r>
          <rPr>
            <sz val="8"/>
            <color indexed="81"/>
            <rFont val="Tahoma"/>
          </rPr>
          <t xml:space="preserve">
</t>
        </r>
      </text>
    </comment>
    <comment ref="C18" authorId="0">
      <text>
        <r>
          <rPr>
            <sz val="10"/>
            <color indexed="48"/>
            <rFont val="Tahoma"/>
            <family val="2"/>
          </rPr>
          <t>Coefficient Kls
DANS LE CAS DE LA FLEXION OBLIQUE L'EFFET SYTEME N'EST PAS PERTINENT</t>
        </r>
        <r>
          <rPr>
            <sz val="11"/>
            <color indexed="81"/>
            <rFont val="Tahoma"/>
            <family val="2"/>
          </rPr>
          <t xml:space="preserve">
</t>
        </r>
        <r>
          <rPr>
            <b/>
            <sz val="11"/>
            <color indexed="10"/>
            <rFont val="Tahoma"/>
            <family val="2"/>
          </rPr>
          <t>NOUS PRENDRONS 1</t>
        </r>
      </text>
    </comment>
    <comment ref="C19" authorId="0">
      <text>
        <r>
          <rPr>
            <sz val="8"/>
            <color indexed="48"/>
            <rFont val="Tahoma"/>
            <family val="2"/>
          </rPr>
          <t>Coefficient Kcrit
DANS LE CAS DE LA FLEXION OBLIQUE LE DEVERSEMENT N'EST PAS PERTINENT</t>
        </r>
        <r>
          <rPr>
            <sz val="8"/>
            <color indexed="81"/>
            <rFont val="Tahoma"/>
            <family val="2"/>
          </rPr>
          <t xml:space="preserve">
</t>
        </r>
        <r>
          <rPr>
            <b/>
            <sz val="11"/>
            <color indexed="10"/>
            <rFont val="Tahoma"/>
            <family val="2"/>
          </rPr>
          <t>NOUS PRENDRONS 1</t>
        </r>
        <r>
          <rPr>
            <sz val="8"/>
            <color indexed="81"/>
            <rFont val="Tahoma"/>
          </rPr>
          <t xml:space="preserve">
</t>
        </r>
      </text>
    </comment>
    <comment ref="C22" authorId="0">
      <text>
        <r>
          <rPr>
            <b/>
            <sz val="8"/>
            <color indexed="81"/>
            <rFont val="Tahoma"/>
          </rPr>
          <t>Coef de flambement</t>
        </r>
        <r>
          <rPr>
            <sz val="8"/>
            <color indexed="81"/>
            <rFont val="Tahoma"/>
          </rPr>
          <t xml:space="preserve">
</t>
        </r>
      </text>
    </comment>
  </commentList>
</comments>
</file>

<file path=xl/comments34.xml><?xml version="1.0" encoding="utf-8"?>
<comments xmlns="http://schemas.openxmlformats.org/spreadsheetml/2006/main">
  <authors>
    <author>Vincent TASTET</author>
  </authors>
  <commentList>
    <comment ref="C5" authorId="0">
      <text>
        <r>
          <rPr>
            <b/>
            <sz val="8"/>
            <color indexed="81"/>
            <rFont val="Tahoma"/>
          </rPr>
          <t>Attention aux unités kN.m</t>
        </r>
        <r>
          <rPr>
            <sz val="8"/>
            <color indexed="81"/>
            <rFont val="Tahoma"/>
          </rPr>
          <t xml:space="preserve">
</t>
        </r>
      </text>
    </comment>
    <comment ref="C11" authorId="0">
      <text>
        <r>
          <rPr>
            <sz val="8"/>
            <color indexed="81"/>
            <rFont val="Tahoma"/>
          </rPr>
          <t xml:space="preserve">
</t>
        </r>
      </text>
    </comment>
    <comment ref="C12" authorId="0">
      <text>
        <r>
          <rPr>
            <sz val="8"/>
            <color indexed="81"/>
            <rFont val="Tahoma"/>
          </rPr>
          <t xml:space="preserve">
</t>
        </r>
      </text>
    </comment>
    <comment ref="C13"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14"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 ref="C15" authorId="0">
      <text>
        <r>
          <rPr>
            <sz val="8"/>
            <color indexed="81"/>
            <rFont val="Tahoma"/>
          </rPr>
          <t xml:space="preserve">Coef de plastification :
Prendre </t>
        </r>
        <r>
          <rPr>
            <b/>
            <sz val="8"/>
            <color indexed="81"/>
            <rFont val="Tahoma"/>
            <family val="2"/>
          </rPr>
          <t>0.7 pour les sections rectangulaires</t>
        </r>
        <r>
          <rPr>
            <sz val="8"/>
            <color indexed="81"/>
            <rFont val="Tahoma"/>
          </rPr>
          <t xml:space="preserve"> et 1 pour les autres sections
</t>
        </r>
      </text>
    </comment>
    <comment ref="C16" authorId="0">
      <text>
        <r>
          <rPr>
            <b/>
            <sz val="8"/>
            <color indexed="81"/>
            <rFont val="Tahoma"/>
            <family val="2"/>
          </rPr>
          <t>Kh selon hauteur pour axe for</t>
        </r>
        <r>
          <rPr>
            <sz val="8"/>
            <color indexed="81"/>
            <rFont val="Tahoma"/>
          </rPr>
          <t xml:space="preserve">t
</t>
        </r>
      </text>
    </comment>
    <comment ref="C22" authorId="0">
      <text>
        <r>
          <rPr>
            <b/>
            <sz val="8"/>
            <color indexed="81"/>
            <rFont val="Tahoma"/>
          </rPr>
          <t>Coef de flambement</t>
        </r>
        <r>
          <rPr>
            <sz val="8"/>
            <color indexed="81"/>
            <rFont val="Tahoma"/>
          </rPr>
          <t xml:space="preserve">
</t>
        </r>
      </text>
    </comment>
  </commentList>
</comments>
</file>

<file path=xl/comments35.xml><?xml version="1.0" encoding="utf-8"?>
<comments xmlns="http://schemas.openxmlformats.org/spreadsheetml/2006/main">
  <authors>
    <author>Vincent TASTET</author>
  </authors>
  <commentList>
    <comment ref="C5" authorId="0">
      <text>
        <r>
          <rPr>
            <b/>
            <sz val="8"/>
            <color indexed="81"/>
            <rFont val="Tahoma"/>
          </rPr>
          <t>Attention aux unités kN.m</t>
        </r>
        <r>
          <rPr>
            <sz val="8"/>
            <color indexed="81"/>
            <rFont val="Tahoma"/>
          </rPr>
          <t xml:space="preserve">
</t>
        </r>
      </text>
    </comment>
    <comment ref="C11" authorId="0">
      <text>
        <r>
          <rPr>
            <sz val="8"/>
            <color indexed="81"/>
            <rFont val="Tahoma"/>
          </rPr>
          <t xml:space="preserve">
</t>
        </r>
      </text>
    </comment>
    <comment ref="C12" authorId="0">
      <text>
        <r>
          <rPr>
            <sz val="8"/>
            <color indexed="81"/>
            <rFont val="Tahoma"/>
          </rPr>
          <t xml:space="preserve">
</t>
        </r>
      </text>
    </comment>
    <comment ref="C13"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14"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 ref="C15" authorId="0">
      <text>
        <r>
          <rPr>
            <sz val="8"/>
            <color indexed="81"/>
            <rFont val="Tahoma"/>
          </rPr>
          <t xml:space="preserve">Coef de plastification :
Prendre </t>
        </r>
        <r>
          <rPr>
            <b/>
            <sz val="8"/>
            <color indexed="81"/>
            <rFont val="Tahoma"/>
            <family val="2"/>
          </rPr>
          <t>0.7 pour les sections rectangulaires</t>
        </r>
        <r>
          <rPr>
            <sz val="8"/>
            <color indexed="81"/>
            <rFont val="Tahoma"/>
          </rPr>
          <t xml:space="preserve"> et 1 pour les autres sections
</t>
        </r>
      </text>
    </comment>
    <comment ref="C16" authorId="0">
      <text>
        <r>
          <rPr>
            <b/>
            <sz val="8"/>
            <color indexed="81"/>
            <rFont val="Tahoma"/>
            <family val="2"/>
          </rPr>
          <t>Kh selon hauteur pour axe for</t>
        </r>
        <r>
          <rPr>
            <sz val="8"/>
            <color indexed="81"/>
            <rFont val="Tahoma"/>
          </rPr>
          <t xml:space="preserve">t
</t>
        </r>
      </text>
    </comment>
    <comment ref="C17" authorId="0">
      <text>
        <r>
          <rPr>
            <b/>
            <sz val="8"/>
            <color indexed="81"/>
            <rFont val="Tahoma"/>
          </rPr>
          <t>Kh selon largeur pour axe faible</t>
        </r>
        <r>
          <rPr>
            <sz val="8"/>
            <color indexed="81"/>
            <rFont val="Tahoma"/>
          </rPr>
          <t xml:space="preserve">
</t>
        </r>
      </text>
    </comment>
    <comment ref="C18" authorId="0">
      <text>
        <r>
          <rPr>
            <b/>
            <sz val="8"/>
            <color indexed="81"/>
            <rFont val="Tahoma"/>
            <family val="2"/>
          </rPr>
          <t>Coefficient Kls
DANS LE CAS DE LA FLEXION OBLIQUE L'EFFET SYTEME N'EST PAS PERTINENT</t>
        </r>
        <r>
          <rPr>
            <sz val="8"/>
            <color indexed="81"/>
            <rFont val="Tahoma"/>
          </rPr>
          <t xml:space="preserve">
</t>
        </r>
        <r>
          <rPr>
            <sz val="10"/>
            <color indexed="10"/>
            <rFont val="Tahoma"/>
            <family val="2"/>
          </rPr>
          <t>NOUS PRENDRONS 1</t>
        </r>
      </text>
    </comment>
  </commentList>
</comments>
</file>

<file path=xl/comments36.xml><?xml version="1.0" encoding="utf-8"?>
<comments xmlns="http://schemas.openxmlformats.org/spreadsheetml/2006/main">
  <authors>
    <author>Vincent TASTET</author>
  </authors>
  <commentList>
    <comment ref="C5" authorId="0">
      <text>
        <r>
          <rPr>
            <b/>
            <sz val="8"/>
            <color indexed="81"/>
            <rFont val="Tahoma"/>
          </rPr>
          <t>Attention aux unités kN.m</t>
        </r>
        <r>
          <rPr>
            <sz val="8"/>
            <color indexed="81"/>
            <rFont val="Tahoma"/>
          </rPr>
          <t xml:space="preserve">
</t>
        </r>
      </text>
    </comment>
    <comment ref="D5" authorId="0">
      <text>
        <r>
          <rPr>
            <b/>
            <sz val="8"/>
            <color indexed="81"/>
            <rFont val="Tahoma"/>
            <family val="2"/>
          </rPr>
          <t xml:space="preserve">Attention aux unités kN.m
SI PAS DE CHARGEMENT PERPENDICULAIREMENT A L'AXE FAIBLE, PORTER </t>
        </r>
        <r>
          <rPr>
            <b/>
            <sz val="14"/>
            <color indexed="81"/>
            <rFont val="Tahoma"/>
            <family val="2"/>
          </rPr>
          <t>0</t>
        </r>
        <r>
          <rPr>
            <b/>
            <sz val="8"/>
            <color indexed="81"/>
            <rFont val="Tahoma"/>
            <family val="2"/>
          </rPr>
          <t xml:space="preserve"> </t>
        </r>
      </text>
    </comment>
    <comment ref="C11" authorId="0">
      <text>
        <r>
          <rPr>
            <sz val="8"/>
            <color indexed="81"/>
            <rFont val="Tahoma"/>
          </rPr>
          <t xml:space="preserve">
</t>
        </r>
      </text>
    </comment>
    <comment ref="C12" authorId="0">
      <text>
        <r>
          <rPr>
            <sz val="8"/>
            <color indexed="81"/>
            <rFont val="Tahoma"/>
          </rPr>
          <t xml:space="preserve">
</t>
        </r>
      </text>
    </comment>
    <comment ref="C13"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14"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 ref="C15" authorId="0">
      <text>
        <r>
          <rPr>
            <sz val="8"/>
            <color indexed="81"/>
            <rFont val="Tahoma"/>
          </rPr>
          <t xml:space="preserve">Coef de plastification :
Prendre </t>
        </r>
        <r>
          <rPr>
            <b/>
            <sz val="8"/>
            <color indexed="81"/>
            <rFont val="Tahoma"/>
            <family val="2"/>
          </rPr>
          <t>0.7 pour les sections rectangulaires</t>
        </r>
        <r>
          <rPr>
            <sz val="8"/>
            <color indexed="81"/>
            <rFont val="Tahoma"/>
          </rPr>
          <t xml:space="preserve"> et 1 pour les autres sections
</t>
        </r>
      </text>
    </comment>
    <comment ref="C16" authorId="0">
      <text>
        <r>
          <rPr>
            <b/>
            <sz val="8"/>
            <color indexed="81"/>
            <rFont val="Tahoma"/>
            <family val="2"/>
          </rPr>
          <t>Kh selon hauteur pour axe for</t>
        </r>
        <r>
          <rPr>
            <sz val="8"/>
            <color indexed="81"/>
            <rFont val="Tahoma"/>
          </rPr>
          <t xml:space="preserve">t
</t>
        </r>
      </text>
    </comment>
    <comment ref="C17" authorId="0">
      <text>
        <r>
          <rPr>
            <b/>
            <sz val="8"/>
            <color indexed="81"/>
            <rFont val="Tahoma"/>
          </rPr>
          <t>Kh selon largeur pour axe faible</t>
        </r>
        <r>
          <rPr>
            <sz val="8"/>
            <color indexed="81"/>
            <rFont val="Tahoma"/>
          </rPr>
          <t xml:space="preserve">
</t>
        </r>
      </text>
    </comment>
    <comment ref="C18" authorId="0">
      <text>
        <r>
          <rPr>
            <b/>
            <sz val="8"/>
            <color indexed="81"/>
            <rFont val="Tahoma"/>
            <family val="2"/>
          </rPr>
          <t>Coefficient Kls
DANS LE CAS DE LA FLEXION OBLIQUE L'EFFET SYTEME N'EST PAS PERTINENT</t>
        </r>
        <r>
          <rPr>
            <sz val="8"/>
            <color indexed="81"/>
            <rFont val="Tahoma"/>
          </rPr>
          <t xml:space="preserve">
</t>
        </r>
        <r>
          <rPr>
            <sz val="10"/>
            <color indexed="10"/>
            <rFont val="Tahoma"/>
            <family val="2"/>
          </rPr>
          <t>NOUS PRENDRONS 1</t>
        </r>
      </text>
    </comment>
    <comment ref="C19" authorId="0">
      <text>
        <r>
          <rPr>
            <sz val="10"/>
            <color indexed="48"/>
            <rFont val="Tahoma"/>
            <family val="2"/>
          </rPr>
          <t>Coefficient Kcrit
DANS LE CAS DE LA FLEXION OBLIQUE LE DEVERSEMENT N'EST PAS PERTINENT</t>
        </r>
        <r>
          <rPr>
            <sz val="10"/>
            <color indexed="81"/>
            <rFont val="Tahoma"/>
            <family val="2"/>
          </rPr>
          <t xml:space="preserve">
</t>
        </r>
        <r>
          <rPr>
            <sz val="10"/>
            <color indexed="10"/>
            <rFont val="Tahoma"/>
            <family val="2"/>
          </rPr>
          <t>NOUS PRENDRONS 1</t>
        </r>
        <r>
          <rPr>
            <sz val="8"/>
            <color indexed="81"/>
            <rFont val="Tahoma"/>
          </rPr>
          <t xml:space="preserve">
</t>
        </r>
      </text>
    </comment>
  </commentList>
</comments>
</file>

<file path=xl/comments37.xml><?xml version="1.0" encoding="utf-8"?>
<comments xmlns="http://schemas.openxmlformats.org/spreadsheetml/2006/main">
  <authors>
    <author>Vincent TASTET</author>
  </authors>
  <commentList>
    <comment ref="C2" authorId="0">
      <text>
        <r>
          <rPr>
            <sz val="10"/>
            <color indexed="81"/>
            <rFont val="Tahoma"/>
            <family val="2"/>
          </rPr>
          <t>La condition de maximum de contrainte est atteinte au point x= l/(1+hap/hs).Donner le MF à ce point</t>
        </r>
      </text>
    </comment>
    <comment ref="H2" authorId="0">
      <text>
        <r>
          <rPr>
            <sz val="10"/>
            <color indexed="81"/>
            <rFont val="Verdana"/>
            <family val="2"/>
          </rPr>
          <t>La condition de maximum de contrainte est atteinte au point 
x= l/(1+hap/hs).</t>
        </r>
      </text>
    </comment>
    <comment ref="C10" authorId="0">
      <text>
        <r>
          <rPr>
            <sz val="8"/>
            <color indexed="81"/>
            <rFont val="Tahoma"/>
          </rPr>
          <t xml:space="preserve">
</t>
        </r>
      </text>
    </comment>
    <comment ref="C11"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12"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 ref="C15" authorId="0">
      <text>
        <r>
          <rPr>
            <b/>
            <sz val="10"/>
            <color indexed="81"/>
            <rFont val="Tahoma"/>
            <family val="2"/>
          </rPr>
          <t xml:space="preserve">Coefficient Kls
Dans le cas de POUTRE IV, ce coef est = à 1.
</t>
        </r>
      </text>
    </comment>
  </commentList>
</comments>
</file>

<file path=xl/comments38.xml><?xml version="1.0" encoding="utf-8"?>
<comments xmlns="http://schemas.openxmlformats.org/spreadsheetml/2006/main">
  <authors>
    <author>Vincent TASTET</author>
  </authors>
  <commentList>
    <comment ref="C3" authorId="0">
      <text>
        <r>
          <rPr>
            <b/>
            <sz val="8"/>
            <color indexed="81"/>
            <rFont val="Tahoma"/>
          </rPr>
          <t xml:space="preserve">Relever cette valeur sur la feuille excel de vérification </t>
        </r>
        <r>
          <rPr>
            <sz val="8"/>
            <color indexed="81"/>
            <rFont val="Tahoma"/>
          </rPr>
          <t xml:space="preserve">
</t>
        </r>
      </text>
    </comment>
    <comment ref="C4" authorId="0">
      <text>
        <r>
          <rPr>
            <b/>
            <sz val="8"/>
            <color indexed="81"/>
            <rFont val="Tahoma"/>
          </rPr>
          <t xml:space="preserve">Relever cette valeur sur la feuille excel de vérification </t>
        </r>
        <r>
          <rPr>
            <sz val="8"/>
            <color indexed="81"/>
            <rFont val="Tahoma"/>
          </rPr>
          <t xml:space="preserve">
</t>
        </r>
      </text>
    </comment>
    <comment ref="A11" authorId="0">
      <text>
        <r>
          <rPr>
            <b/>
            <sz val="8"/>
            <color indexed="81"/>
            <rFont val="Tahoma"/>
          </rPr>
          <t>Relever le mode de rupture sur la feuille de vérification de la tige</t>
        </r>
      </text>
    </comment>
    <comment ref="C15"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16"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List>
</comments>
</file>

<file path=xl/comments39.xml><?xml version="1.0" encoding="utf-8"?>
<comments xmlns="http://schemas.openxmlformats.org/spreadsheetml/2006/main">
  <authors>
    <author>Vincent TASTET</author>
  </authors>
  <commentList>
    <comment ref="C5" authorId="0">
      <text>
        <r>
          <rPr>
            <b/>
            <sz val="8"/>
            <color indexed="81"/>
            <rFont val="Tahoma"/>
          </rPr>
          <t>Attention aux unités kN.m</t>
        </r>
        <r>
          <rPr>
            <sz val="8"/>
            <color indexed="81"/>
            <rFont val="Tahoma"/>
          </rPr>
          <t xml:space="preserve">
</t>
        </r>
      </text>
    </comment>
    <comment ref="C11" authorId="0">
      <text>
        <r>
          <rPr>
            <sz val="8"/>
            <color indexed="81"/>
            <rFont val="Tahoma"/>
          </rPr>
          <t xml:space="preserve">
</t>
        </r>
      </text>
    </comment>
    <comment ref="C12" authorId="0">
      <text>
        <r>
          <rPr>
            <sz val="8"/>
            <color indexed="81"/>
            <rFont val="Tahoma"/>
          </rPr>
          <t xml:space="preserve">
</t>
        </r>
      </text>
    </comment>
    <comment ref="C13"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14"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 ref="C15" authorId="0">
      <text>
        <r>
          <rPr>
            <b/>
            <sz val="8"/>
            <color indexed="81"/>
            <rFont val="Tahoma"/>
            <family val="2"/>
          </rPr>
          <t>Kh selon hauteur pour axe for</t>
        </r>
        <r>
          <rPr>
            <sz val="8"/>
            <color indexed="81"/>
            <rFont val="Tahoma"/>
          </rPr>
          <t xml:space="preserve">t
</t>
        </r>
      </text>
    </comment>
    <comment ref="C16" authorId="0">
      <text>
        <r>
          <rPr>
            <sz val="8"/>
            <color indexed="81"/>
            <rFont val="Tahoma"/>
          </rPr>
          <t xml:space="preserve">Coefficient Kls
</t>
        </r>
        <r>
          <rPr>
            <b/>
            <sz val="10"/>
            <color indexed="81"/>
            <rFont val="Tahoma"/>
            <family val="2"/>
          </rPr>
          <t>Il est conseillé de prendre 1</t>
        </r>
        <r>
          <rPr>
            <sz val="8"/>
            <color indexed="81"/>
            <rFont val="Tahoma"/>
          </rPr>
          <t>.</t>
        </r>
      </text>
    </comment>
    <comment ref="C17" authorId="0">
      <text>
        <r>
          <rPr>
            <sz val="8"/>
            <color indexed="81"/>
            <rFont val="Tahoma"/>
            <family val="2"/>
          </rPr>
          <t xml:space="preserve">Si la fibre comprimée de la panne n'est pas maintenue, </t>
        </r>
        <r>
          <rPr>
            <b/>
            <sz val="8"/>
            <color indexed="81"/>
            <rFont val="Tahoma"/>
            <family val="2"/>
          </rPr>
          <t>on appliquera un coef kcrit pour prendre en compte le déversement</t>
        </r>
        <r>
          <rPr>
            <sz val="8"/>
            <color indexed="81"/>
            <rFont val="Tahoma"/>
          </rPr>
          <t xml:space="preserve">
</t>
        </r>
      </text>
    </comment>
    <comment ref="C19" authorId="0">
      <text>
        <r>
          <rPr>
            <b/>
            <sz val="8"/>
            <color indexed="81"/>
            <rFont val="Tahoma"/>
          </rPr>
          <t>Coef de flambement</t>
        </r>
        <r>
          <rPr>
            <sz val="8"/>
            <color indexed="81"/>
            <rFont val="Tahoma"/>
          </rPr>
          <t xml:space="preserve">
</t>
        </r>
      </text>
    </comment>
  </commentList>
</comments>
</file>

<file path=xl/comments4.xml><?xml version="1.0" encoding="utf-8"?>
<comments xmlns="http://schemas.openxmlformats.org/spreadsheetml/2006/main">
  <authors>
    <author>Vincent TASTET</author>
  </authors>
  <commentList>
    <comment ref="C14"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Permanente             10 ans                                  poids propre
Long terme               six mois à 10 ans                 stockage
Moyen terme            une semaine à six mois        charges d'exploitation, neige (alt &gt;500m)
Court terme              une semaine                        neige (alt &lt; 500m) et vent
Instantanée             action accidentelle</t>
        </r>
      </text>
    </comment>
    <comment ref="C15"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List>
</comments>
</file>

<file path=xl/comments40.xml><?xml version="1.0" encoding="utf-8"?>
<comments xmlns="http://schemas.openxmlformats.org/spreadsheetml/2006/main">
  <authors>
    <author>Vincent TASTET</author>
  </authors>
  <commentList>
    <comment ref="C12" authorId="0">
      <text>
        <r>
          <rPr>
            <sz val="8"/>
            <color indexed="81"/>
            <rFont val="Tahoma"/>
          </rPr>
          <t xml:space="preserve">
</t>
        </r>
      </text>
    </comment>
    <comment ref="C13"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 xml:space="preserve">Permanente             10 ans                                  poids propre
Long terme               six mois à 10 ans                 stockage
Moyen terme            une semaine à six mois        charges d'exploitation, neige (alt &gt;500m)
Court terme              une semaine                        neige (alt &lt; 500m) 
Instantanée                                                          vent, action accidentelle </t>
        </r>
      </text>
    </comment>
    <comment ref="C14"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 ref="B16" authorId="0">
      <text>
        <r>
          <rPr>
            <sz val="10"/>
            <color indexed="18"/>
            <rFont val="Tahoma"/>
            <family val="2"/>
          </rPr>
          <t>Lors du calcul de kcy, vérifier que lambda</t>
        </r>
        <r>
          <rPr>
            <b/>
            <sz val="12"/>
            <color indexed="18"/>
            <rFont val="Symbol"/>
            <family val="1"/>
            <charset val="2"/>
          </rPr>
          <t xml:space="preserve"> l</t>
        </r>
        <r>
          <rPr>
            <sz val="10"/>
            <color indexed="18"/>
            <rFont val="Tahoma"/>
            <family val="2"/>
          </rPr>
          <t>, élancement mécanique soit &lt; à 120 ou 180</t>
        </r>
        <r>
          <rPr>
            <sz val="8"/>
            <color indexed="81"/>
            <rFont val="Tahoma"/>
          </rPr>
          <t xml:space="preserve">
</t>
        </r>
        <r>
          <rPr>
            <sz val="8"/>
            <color indexed="81"/>
            <rFont val="Tahoma"/>
            <family val="2"/>
          </rPr>
          <t>On limitera lambda</t>
        </r>
        <r>
          <rPr>
            <b/>
            <sz val="12"/>
            <color indexed="81"/>
            <rFont val="Symbol"/>
            <family val="1"/>
            <charset val="2"/>
          </rPr>
          <t xml:space="preserve"> l</t>
        </r>
        <r>
          <rPr>
            <sz val="8"/>
            <color indexed="81"/>
            <rFont val="Tahoma"/>
            <family val="2"/>
          </rPr>
          <t xml:space="preserve"> à </t>
        </r>
        <r>
          <rPr>
            <b/>
            <sz val="14"/>
            <color indexed="10"/>
            <rFont val="Tahoma"/>
            <family val="2"/>
          </rPr>
          <t>120</t>
        </r>
        <r>
          <rPr>
            <sz val="8"/>
            <color indexed="81"/>
            <rFont val="Tahoma"/>
            <family val="2"/>
          </rPr>
          <t xml:space="preserve"> pour les toutes les pièces, 
en acceptant toutefois </t>
        </r>
        <r>
          <rPr>
            <b/>
            <sz val="14"/>
            <color indexed="10"/>
            <rFont val="Tahoma"/>
            <family val="2"/>
          </rPr>
          <t>180</t>
        </r>
        <r>
          <rPr>
            <sz val="8"/>
            <color indexed="81"/>
            <rFont val="Tahoma"/>
            <family val="2"/>
          </rPr>
          <t xml:space="preserve"> pour les pièces de contreventement.</t>
        </r>
        <r>
          <rPr>
            <sz val="8"/>
            <color indexed="81"/>
            <rFont val="Tahoma"/>
          </rPr>
          <t xml:space="preserve">
</t>
        </r>
      </text>
    </comment>
    <comment ref="C16" authorId="0">
      <text>
        <r>
          <rPr>
            <b/>
            <sz val="8"/>
            <color indexed="81"/>
            <rFont val="Tahoma"/>
          </rPr>
          <t>Coef de flambement</t>
        </r>
        <r>
          <rPr>
            <sz val="8"/>
            <color indexed="81"/>
            <rFont val="Tahoma"/>
          </rPr>
          <t xml:space="preserve">
</t>
        </r>
      </text>
    </comment>
  </commentList>
</comments>
</file>

<file path=xl/comments5.xml><?xml version="1.0" encoding="utf-8"?>
<comments xmlns="http://schemas.openxmlformats.org/spreadsheetml/2006/main">
  <authors>
    <author>Vincent TASTET</author>
  </authors>
  <commentList>
    <comment ref="A4" authorId="0">
      <text>
        <r>
          <rPr>
            <sz val="8"/>
            <color indexed="81"/>
            <rFont val="Tahoma"/>
            <family val="2"/>
          </rPr>
          <t>kh, fonction de h pour la flexion</t>
        </r>
        <r>
          <rPr>
            <sz val="8"/>
            <color indexed="81"/>
            <rFont val="Tahoma"/>
          </rPr>
          <t xml:space="preserve">
kh, fonction de b pour la traction axiale et la traction transversale</t>
        </r>
      </text>
    </comment>
  </commentList>
</comments>
</file>

<file path=xl/comments6.xml><?xml version="1.0" encoding="utf-8"?>
<comments xmlns="http://schemas.openxmlformats.org/spreadsheetml/2006/main">
  <authors>
    <author>Vincent TASTET</author>
  </authors>
  <commentList>
    <comment ref="C2" authorId="0">
      <text>
        <r>
          <rPr>
            <sz val="8"/>
            <color indexed="81"/>
            <rFont val="Tahoma"/>
          </rPr>
          <t xml:space="preserve">Lef = L x COEF ci dessous
COEF
Sur appuis simples  : Charge répartie 0.9    Charge concentrée 0.8
Porte à faux           : Charge répartie 0.5    Charge concentrée 0.8
Si la poutre est chargée sur sa fibre comprimée Lef est augmentée de la valeur 2h.
Si la poutre est chargée sur sa partie tendue Lef est diminuée de 0.5h.
</t>
        </r>
      </text>
    </comment>
    <comment ref="D2" authorId="0">
      <text>
        <r>
          <rPr>
            <sz val="8"/>
            <color indexed="81"/>
            <rFont val="Tahoma"/>
          </rPr>
          <t xml:space="preserve">
</t>
        </r>
      </text>
    </comment>
    <comment ref="C5" authorId="0">
      <text>
        <r>
          <rPr>
            <sz val="8"/>
            <color indexed="81"/>
            <rFont val="Tahoma"/>
            <family val="2"/>
          </rPr>
          <t xml:space="preserve">On utilisera </t>
        </r>
        <r>
          <rPr>
            <sz val="11"/>
            <color indexed="81"/>
            <rFont val="Tahoma"/>
            <family val="2"/>
          </rPr>
          <t>E</t>
        </r>
        <r>
          <rPr>
            <vertAlign val="subscript"/>
            <sz val="11"/>
            <color indexed="81"/>
            <rFont val="Tahoma"/>
            <family val="2"/>
          </rPr>
          <t>0,05</t>
        </r>
        <r>
          <rPr>
            <sz val="8"/>
            <color indexed="81"/>
            <rFont val="Tahoma"/>
            <family val="2"/>
          </rPr>
          <t xml:space="preserve"> parce que nous réalisons un calcul ELU</t>
        </r>
        <r>
          <rPr>
            <sz val="8"/>
            <color indexed="81"/>
            <rFont val="Tahoma"/>
          </rPr>
          <t xml:space="preserve">
</t>
        </r>
      </text>
    </comment>
  </commentList>
</comments>
</file>

<file path=xl/comments7.xml><?xml version="1.0" encoding="utf-8"?>
<comments xmlns="http://schemas.openxmlformats.org/spreadsheetml/2006/main">
  <authors>
    <author>Vincent TASTET</author>
    <author>VTASTET</author>
  </authors>
  <commentList>
    <comment ref="D2" authorId="0">
      <text>
        <r>
          <rPr>
            <sz val="8"/>
            <color indexed="81"/>
            <rFont val="Tahoma"/>
          </rPr>
          <t xml:space="preserve">
</t>
        </r>
      </text>
    </comment>
    <comment ref="C9" authorId="0">
      <text>
        <r>
          <rPr>
            <b/>
            <sz val="11"/>
            <color indexed="81"/>
            <rFont val="Tahoma"/>
            <family val="2"/>
          </rPr>
          <t>si BM, 1
si LC, 2</t>
        </r>
      </text>
    </comment>
    <comment ref="C10" authorId="0">
      <text>
        <r>
          <rPr>
            <sz val="8"/>
            <color indexed="81"/>
            <rFont val="Tahoma"/>
          </rPr>
          <t>On utilisera E0,05 parce que nous réalisons un calcul ELU</t>
        </r>
      </text>
    </comment>
    <comment ref="C17" authorId="1">
      <text>
        <r>
          <rPr>
            <b/>
            <sz val="8"/>
            <color indexed="81"/>
            <rFont val="Tahoma"/>
          </rPr>
          <t>Valeur de lambda réel</t>
        </r>
        <r>
          <rPr>
            <sz val="8"/>
            <color indexed="81"/>
            <rFont val="Tahoma"/>
          </rPr>
          <t xml:space="preserve">
</t>
        </r>
      </text>
    </comment>
    <comment ref="D17" authorId="1">
      <text>
        <r>
          <rPr>
            <b/>
            <sz val="8"/>
            <color indexed="81"/>
            <rFont val="Tahoma"/>
            <family val="2"/>
          </rPr>
          <t>Dans notre cas, le kcy le plus pénalisant se produit selon l'axe indiqué dans cette case</t>
        </r>
        <r>
          <rPr>
            <sz val="8"/>
            <color indexed="81"/>
            <rFont val="Tahoma"/>
          </rPr>
          <t xml:space="preserve">
</t>
        </r>
      </text>
    </comment>
    <comment ref="C18" authorId="0">
      <text>
        <r>
          <rPr>
            <b/>
            <sz val="12"/>
            <color indexed="10"/>
            <rFont val="Tahoma"/>
            <family val="2"/>
          </rPr>
          <t>ANCIENNE REGLE CB71</t>
        </r>
        <r>
          <rPr>
            <sz val="8"/>
            <color indexed="81"/>
            <rFont val="Tahoma"/>
          </rPr>
          <t xml:space="preserve">
Lambda</t>
        </r>
        <r>
          <rPr>
            <b/>
            <sz val="12"/>
            <color indexed="81"/>
            <rFont val="Symbol"/>
            <family val="1"/>
            <charset val="2"/>
          </rPr>
          <t>,l</t>
        </r>
        <r>
          <rPr>
            <sz val="8"/>
            <color indexed="81"/>
            <rFont val="Tahoma"/>
          </rPr>
          <t xml:space="preserve"> élancement mécanique = longueur de flambement / rayon de giration (Lf/i)
avec</t>
        </r>
        <r>
          <rPr>
            <b/>
            <sz val="8"/>
            <color indexed="81"/>
            <rFont val="Tahoma"/>
            <family val="2"/>
          </rPr>
          <t xml:space="preserve"> </t>
        </r>
        <r>
          <rPr>
            <sz val="8"/>
            <color indexed="81"/>
            <rFont val="Tahoma"/>
            <family val="2"/>
          </rPr>
          <t>rayon de giration,</t>
        </r>
        <r>
          <rPr>
            <b/>
            <sz val="8"/>
            <color indexed="81"/>
            <rFont val="Tahoma"/>
            <family val="2"/>
          </rPr>
          <t xml:space="preserve"> i </t>
        </r>
        <r>
          <rPr>
            <b/>
            <sz val="10"/>
            <color indexed="81"/>
            <rFont val="Tahoma"/>
            <family val="2"/>
          </rPr>
          <t>= (I/S)^0.5</t>
        </r>
        <r>
          <rPr>
            <sz val="10"/>
            <color indexed="81"/>
            <rFont val="Tahoma"/>
            <family val="2"/>
          </rPr>
          <t xml:space="preserve">.
</t>
        </r>
        <r>
          <rPr>
            <sz val="8"/>
            <color indexed="81"/>
            <rFont val="Tahoma"/>
            <family val="2"/>
          </rPr>
          <t>On limitera lambda</t>
        </r>
        <r>
          <rPr>
            <b/>
            <sz val="12"/>
            <color indexed="81"/>
            <rFont val="Symbol"/>
            <family val="1"/>
            <charset val="2"/>
          </rPr>
          <t xml:space="preserve"> l</t>
        </r>
        <r>
          <rPr>
            <sz val="8"/>
            <color indexed="81"/>
            <rFont val="Tahoma"/>
            <family val="2"/>
          </rPr>
          <t xml:space="preserve"> à </t>
        </r>
        <r>
          <rPr>
            <b/>
            <sz val="14"/>
            <color indexed="10"/>
            <rFont val="Tahoma"/>
            <family val="2"/>
          </rPr>
          <t>120</t>
        </r>
        <r>
          <rPr>
            <sz val="8"/>
            <color indexed="81"/>
            <rFont val="Tahoma"/>
            <family val="2"/>
          </rPr>
          <t xml:space="preserve"> pour les toutes les pièces, 
en acceptant toutefois </t>
        </r>
        <r>
          <rPr>
            <b/>
            <sz val="14"/>
            <color indexed="10"/>
            <rFont val="Tahoma"/>
            <family val="2"/>
          </rPr>
          <t>180</t>
        </r>
        <r>
          <rPr>
            <sz val="8"/>
            <color indexed="81"/>
            <rFont val="Tahoma"/>
            <family val="2"/>
          </rPr>
          <t xml:space="preserve"> pour les pièces de contreventement.</t>
        </r>
        <r>
          <rPr>
            <sz val="8"/>
            <color indexed="81"/>
            <rFont val="Tahoma"/>
          </rPr>
          <t xml:space="preserve">
</t>
        </r>
      </text>
    </comment>
  </commentList>
</comments>
</file>

<file path=xl/comments8.xml><?xml version="1.0" encoding="utf-8"?>
<comments xmlns="http://schemas.openxmlformats.org/spreadsheetml/2006/main">
  <authors>
    <author>Vincent TASTET</author>
  </authors>
  <commentList>
    <comment ref="B10" authorId="0">
      <text>
        <r>
          <rPr>
            <sz val="8"/>
            <color indexed="81"/>
            <rFont val="Tahoma"/>
          </rPr>
          <t xml:space="preserve">                                                                       </t>
        </r>
        <r>
          <rPr>
            <sz val="10"/>
            <color indexed="81"/>
            <rFont val="Tahoma"/>
            <family val="2"/>
          </rPr>
          <t xml:space="preserve">  </t>
        </r>
        <r>
          <rPr>
            <b/>
            <sz val="10"/>
            <color indexed="81"/>
            <rFont val="Tahoma"/>
            <family val="2"/>
          </rPr>
          <t xml:space="preserve"> </t>
        </r>
        <r>
          <rPr>
            <b/>
            <i/>
            <sz val="10"/>
            <color indexed="81"/>
            <rFont val="Tahoma"/>
            <family val="2"/>
          </rPr>
          <t>Classe de service</t>
        </r>
        <r>
          <rPr>
            <b/>
            <sz val="12"/>
            <color indexed="81"/>
            <rFont val="Tahoma"/>
            <family val="2"/>
          </rPr>
          <t xml:space="preserve">   </t>
        </r>
        <r>
          <rPr>
            <sz val="8"/>
            <color indexed="81"/>
            <rFont val="Tahoma"/>
          </rPr>
          <t xml:space="preserve">
             </t>
        </r>
        <r>
          <rPr>
            <b/>
            <i/>
            <sz val="8"/>
            <color indexed="81"/>
            <rFont val="Tahoma"/>
            <family val="2"/>
          </rPr>
          <t>Classe de durée de charge</t>
        </r>
        <r>
          <rPr>
            <b/>
            <sz val="8"/>
            <color indexed="81"/>
            <rFont val="Tahoma"/>
            <family val="2"/>
          </rPr>
          <t xml:space="preserve"> </t>
        </r>
        <r>
          <rPr>
            <b/>
            <sz val="10"/>
            <color indexed="81"/>
            <rFont val="Tahoma"/>
            <family val="2"/>
          </rPr>
          <t xml:space="preserve">   </t>
        </r>
        <r>
          <rPr>
            <b/>
            <sz val="10"/>
            <color indexed="10"/>
            <rFont val="Tahoma"/>
            <family val="2"/>
          </rPr>
          <t xml:space="preserve">   </t>
        </r>
        <r>
          <rPr>
            <b/>
            <sz val="11"/>
            <color indexed="10"/>
            <rFont val="Tahoma"/>
            <family val="2"/>
          </rPr>
          <t>1             2              3</t>
        </r>
        <r>
          <rPr>
            <b/>
            <sz val="10"/>
            <color indexed="81"/>
            <rFont val="Tahoma"/>
            <family val="2"/>
          </rPr>
          <t xml:space="preserve">
                  </t>
        </r>
        <r>
          <rPr>
            <b/>
            <sz val="10"/>
            <color indexed="10"/>
            <rFont val="Tahoma"/>
            <family val="2"/>
          </rPr>
          <t>Permanente</t>
        </r>
        <r>
          <rPr>
            <b/>
            <sz val="10"/>
            <color indexed="81"/>
            <rFont val="Tahoma"/>
            <family val="2"/>
          </rPr>
          <t xml:space="preserve">               0.6          0.6           0.5
                 </t>
        </r>
        <r>
          <rPr>
            <b/>
            <sz val="10"/>
            <color indexed="10"/>
            <rFont val="Tahoma"/>
            <family val="2"/>
          </rPr>
          <t xml:space="preserve"> Long terme</t>
        </r>
        <r>
          <rPr>
            <b/>
            <sz val="10"/>
            <color indexed="81"/>
            <rFont val="Tahoma"/>
            <family val="2"/>
          </rPr>
          <t xml:space="preserve">                0.7          0.7           0.55
                 </t>
        </r>
        <r>
          <rPr>
            <b/>
            <sz val="10"/>
            <color indexed="10"/>
            <rFont val="Tahoma"/>
            <family val="2"/>
          </rPr>
          <t xml:space="preserve"> Moyen terme </t>
        </r>
        <r>
          <rPr>
            <b/>
            <sz val="10"/>
            <color indexed="81"/>
            <rFont val="Tahoma"/>
            <family val="2"/>
          </rPr>
          <t xml:space="preserve">            0.8          0.8           0.65
                </t>
        </r>
        <r>
          <rPr>
            <b/>
            <sz val="10"/>
            <color indexed="10"/>
            <rFont val="Tahoma"/>
            <family val="2"/>
          </rPr>
          <t xml:space="preserve">  Court terme </t>
        </r>
        <r>
          <rPr>
            <b/>
            <sz val="10"/>
            <color indexed="81"/>
            <rFont val="Tahoma"/>
            <family val="2"/>
          </rPr>
          <t xml:space="preserve">              0.9          0.9           0.7
               </t>
        </r>
        <r>
          <rPr>
            <b/>
            <sz val="10"/>
            <color indexed="10"/>
            <rFont val="Tahoma"/>
            <family val="2"/>
          </rPr>
          <t xml:space="preserve">   Instantanée</t>
        </r>
        <r>
          <rPr>
            <b/>
            <sz val="10"/>
            <color indexed="81"/>
            <rFont val="Tahoma"/>
            <family val="2"/>
          </rPr>
          <t xml:space="preserve">              1.1          1.1            0.9</t>
        </r>
        <r>
          <rPr>
            <sz val="8"/>
            <color indexed="81"/>
            <rFont val="Tahoma"/>
          </rPr>
          <t xml:space="preserve">
</t>
        </r>
        <r>
          <rPr>
            <sz val="8"/>
            <color indexed="8"/>
            <rFont val="Tahoma"/>
            <family val="2"/>
          </rPr>
          <t xml:space="preserve">Dans une combinaison de chargement, on prend le Kmod de la plus petite durée de charge. 
Exemple, pour 1,35G + 1,5S, pour une classe de service 2, on prendra kmod = 0.9
</t>
        </r>
        <r>
          <rPr>
            <sz val="8"/>
            <color indexed="48"/>
            <rFont val="Tahoma"/>
            <family val="2"/>
          </rPr>
          <t xml:space="preserve">
</t>
        </r>
        <r>
          <rPr>
            <sz val="8"/>
            <color indexed="12"/>
            <rFont val="Tahoma"/>
            <family val="2"/>
          </rPr>
          <t>Classe de service 1, humidité bois &lt; 12%
Classe de service 2, humidité comprise entre 12% et 20%
Classe de service 3, humidité &gt; 20%</t>
        </r>
        <r>
          <rPr>
            <sz val="8"/>
            <color indexed="48"/>
            <rFont val="Tahoma"/>
            <family val="2"/>
          </rPr>
          <t xml:space="preserve">
</t>
        </r>
        <r>
          <rPr>
            <sz val="8"/>
            <color indexed="12"/>
            <rFont val="Tahoma"/>
            <family val="2"/>
          </rPr>
          <t>Permanente             10 ans                                  poids propre
Long terme               six mois à 10 ans                 stockage
Moyen terme            une semaine à six mois        charges d'exploitation, neige (alt &gt;500m)
Court terme              une semaine                        neige (alt &lt; 500m) et vent
Instantanée             action accidentelle</t>
        </r>
      </text>
    </comment>
    <comment ref="B11" authorId="0">
      <text>
        <r>
          <rPr>
            <sz val="9"/>
            <color indexed="12"/>
            <rFont val="Tahoma"/>
            <family val="2"/>
          </rPr>
          <t>BM:</t>
        </r>
        <r>
          <rPr>
            <sz val="9"/>
            <color indexed="81"/>
            <rFont val="Tahoma"/>
            <family val="2"/>
          </rPr>
          <t xml:space="preserve">                       </t>
        </r>
        <r>
          <rPr>
            <b/>
            <sz val="9"/>
            <color indexed="10"/>
            <rFont val="Tahoma"/>
            <family val="2"/>
          </rPr>
          <t>1,3</t>
        </r>
        <r>
          <rPr>
            <sz val="9"/>
            <color indexed="81"/>
            <rFont val="Tahoma"/>
            <family val="2"/>
          </rPr>
          <t xml:space="preserve">
</t>
        </r>
        <r>
          <rPr>
            <sz val="9"/>
            <color indexed="12"/>
            <rFont val="Tahoma"/>
            <family val="2"/>
          </rPr>
          <t xml:space="preserve">LC:      </t>
        </r>
        <r>
          <rPr>
            <sz val="9"/>
            <color indexed="81"/>
            <rFont val="Tahoma"/>
            <family val="2"/>
          </rPr>
          <t xml:space="preserve">                  </t>
        </r>
        <r>
          <rPr>
            <b/>
            <sz val="9"/>
            <color indexed="10"/>
            <rFont val="Tahoma"/>
            <family val="2"/>
          </rPr>
          <t>1,25</t>
        </r>
        <r>
          <rPr>
            <sz val="9"/>
            <color indexed="81"/>
            <rFont val="Tahoma"/>
            <family val="2"/>
          </rPr>
          <t xml:space="preserve">
</t>
        </r>
        <r>
          <rPr>
            <sz val="9"/>
            <color indexed="12"/>
            <rFont val="Tahoma"/>
            <family val="2"/>
          </rPr>
          <t xml:space="preserve">LVL,OSB:    </t>
        </r>
        <r>
          <rPr>
            <sz val="9"/>
            <color indexed="81"/>
            <rFont val="Tahoma"/>
            <family val="2"/>
          </rPr>
          <t xml:space="preserve">      </t>
        </r>
        <r>
          <rPr>
            <b/>
            <sz val="9"/>
            <color indexed="81"/>
            <rFont val="Tahoma"/>
            <family val="2"/>
          </rPr>
          <t xml:space="preserve">     </t>
        </r>
        <r>
          <rPr>
            <b/>
            <sz val="9"/>
            <color indexed="10"/>
            <rFont val="Tahoma"/>
            <family val="2"/>
          </rPr>
          <t>1,2</t>
        </r>
        <r>
          <rPr>
            <sz val="9"/>
            <color indexed="81"/>
            <rFont val="Tahoma"/>
            <family val="2"/>
          </rPr>
          <t xml:space="preserve">
</t>
        </r>
        <r>
          <rPr>
            <sz val="9"/>
            <color indexed="12"/>
            <rFont val="Tahoma"/>
            <family val="2"/>
          </rPr>
          <t xml:space="preserve">Assemblages:   </t>
        </r>
        <r>
          <rPr>
            <sz val="9"/>
            <color indexed="81"/>
            <rFont val="Tahoma"/>
            <family val="2"/>
          </rPr>
          <t xml:space="preserve">      </t>
        </r>
        <r>
          <rPr>
            <b/>
            <sz val="9"/>
            <color indexed="10"/>
            <rFont val="Tahoma"/>
            <family val="2"/>
          </rPr>
          <t>1,3</t>
        </r>
        <r>
          <rPr>
            <sz val="9"/>
            <color indexed="81"/>
            <rFont val="Tahoma"/>
            <family val="2"/>
          </rPr>
          <t xml:space="preserve"> </t>
        </r>
        <r>
          <rPr>
            <sz val="8"/>
            <color indexed="81"/>
            <rFont val="Tahoma"/>
          </rPr>
          <t xml:space="preserve">  </t>
        </r>
      </text>
    </comment>
    <comment ref="A17" authorId="0">
      <text>
        <r>
          <rPr>
            <sz val="8"/>
            <color indexed="81"/>
            <rFont val="Tahoma"/>
          </rPr>
          <t xml:space="preserve">EFFORT TRANCHANT AU NIVEAU DE L'ASSEMBLAGE
</t>
        </r>
      </text>
    </comment>
  </commentList>
</comments>
</file>

<file path=xl/comments9.xml><?xml version="1.0" encoding="utf-8"?>
<comments xmlns="http://schemas.openxmlformats.org/spreadsheetml/2006/main">
  <authors>
    <author>Vincent TASTET</author>
  </authors>
  <commentList>
    <comment ref="A10" authorId="0">
      <text>
        <r>
          <rPr>
            <sz val="8"/>
            <color indexed="81"/>
            <rFont val="Tahoma"/>
          </rPr>
          <t xml:space="preserve">
</t>
        </r>
      </text>
    </comment>
    <comment ref="AA10" authorId="0">
      <text>
        <r>
          <rPr>
            <sz val="8"/>
            <color indexed="81"/>
            <rFont val="Tahoma"/>
          </rPr>
          <t xml:space="preserve">
</t>
        </r>
      </text>
    </comment>
    <comment ref="A20" authorId="0">
      <text/>
    </comment>
  </commentList>
</comments>
</file>

<file path=xl/sharedStrings.xml><?xml version="1.0" encoding="utf-8"?>
<sst xmlns="http://schemas.openxmlformats.org/spreadsheetml/2006/main" count="3805" uniqueCount="1295">
  <si>
    <r>
      <t>Cisaillement simple (</t>
    </r>
    <r>
      <rPr>
        <b/>
        <sz val="10"/>
        <rFont val="Arial"/>
        <family val="2"/>
      </rPr>
      <t>S</t>
    </r>
    <r>
      <rPr>
        <sz val="10"/>
        <rFont val="Arial"/>
      </rPr>
      <t>), cisaillement double (</t>
    </r>
    <r>
      <rPr>
        <b/>
        <sz val="10"/>
        <rFont val="Arial"/>
        <family val="2"/>
      </rPr>
      <t>D</t>
    </r>
    <r>
      <rPr>
        <sz val="10"/>
        <rFont val="Arial"/>
      </rPr>
      <t>)</t>
    </r>
  </si>
  <si>
    <t>Lettre S ou D</t>
  </si>
  <si>
    <t>S ou D</t>
  </si>
  <si>
    <t>D</t>
  </si>
  <si>
    <t>VERIFICATIONS DES ASSEMBLAGES BOULONS ou BROCHES</t>
  </si>
  <si>
    <t>VERIFICATIONS DES ASSEMBLAGES POINTES ou TIRE-FONDS</t>
  </si>
  <si>
    <t>VERIFICATIONS DES ASSEMBLAGES ANNEAUX OU CRAMPONS</t>
  </si>
  <si>
    <t>Positionnement anneaux et crampons</t>
  </si>
  <si>
    <t>RETOUR MENU PRINCIPAL</t>
  </si>
  <si>
    <t xml:space="preserve">ASSEMBLAGES PAR POINTES CYLINDRIQUES BOIS / CP </t>
  </si>
  <si>
    <t xml:space="preserve">Indiquer la lettre L, C </t>
  </si>
  <si>
    <t>L ou C</t>
  </si>
  <si>
    <t>L</t>
  </si>
  <si>
    <t>ASSEMBLAGES PAR POINTES  BOIS / BOIS</t>
  </si>
  <si>
    <t xml:space="preserve">Pointes                                                                       BOIS / BOIS cisaillement et arrachement </t>
  </si>
  <si>
    <t xml:space="preserve">Pointes                                                                       BOIS / PANNEAU cisaillement et arrachement </t>
  </si>
  <si>
    <t>Indiquer la lettre L,C</t>
  </si>
  <si>
    <t>ø tirefonds (ø &gt; 8_mm)</t>
  </si>
  <si>
    <t>BOIS / BOIS</t>
  </si>
  <si>
    <t>BOIS / CP</t>
  </si>
  <si>
    <t>ACIER / BOIS</t>
  </si>
  <si>
    <t>ACIER / CP</t>
  </si>
  <si>
    <t>on multiplie ces entraxes par 0.7</t>
  </si>
  <si>
    <t xml:space="preserve">Pour les assemblages bois/acier </t>
  </si>
  <si>
    <t>ASSEMBLAGES PAR ANNEAUX BOIS / BOIS ou BOIS / METAL</t>
  </si>
  <si>
    <r>
      <t>Talon (</t>
    </r>
    <r>
      <rPr>
        <b/>
        <sz val="12"/>
        <rFont val="Arial"/>
        <family val="2"/>
      </rPr>
      <t>a</t>
    </r>
    <r>
      <rPr>
        <b/>
        <sz val="10"/>
        <rFont val="Arial"/>
        <family val="2"/>
      </rPr>
      <t>3t</t>
    </r>
    <r>
      <rPr>
        <sz val="10"/>
        <rFont val="Arial"/>
      </rPr>
      <t>) minimum = 1,5 d</t>
    </r>
  </si>
  <si>
    <t>Anneaux                                                                      BOIS / BOIS et BOIS / METAL</t>
  </si>
  <si>
    <r>
      <t xml:space="preserve">Les coefs Kmod et </t>
    </r>
    <r>
      <rPr>
        <b/>
        <sz val="8"/>
        <rFont val="Symbol"/>
        <family val="1"/>
        <charset val="2"/>
      </rPr>
      <t>g</t>
    </r>
    <r>
      <rPr>
        <b/>
        <sz val="8"/>
        <rFont val="Arial"/>
        <family val="2"/>
      </rPr>
      <t>M</t>
    </r>
    <r>
      <rPr>
        <b/>
        <sz val="8"/>
        <rFont val="Arial"/>
      </rPr>
      <t xml:space="preserve"> sont pris en compte</t>
    </r>
  </si>
  <si>
    <t>Hauteur du crampon</t>
  </si>
  <si>
    <t>a3/1.5d</t>
  </si>
  <si>
    <r>
      <t xml:space="preserve">Type crampons (C1 à C9) (taper </t>
    </r>
    <r>
      <rPr>
        <b/>
        <sz val="11"/>
        <rFont val="Arial"/>
        <family val="2"/>
      </rPr>
      <t>X</t>
    </r>
    <r>
      <rPr>
        <sz val="10"/>
        <rFont val="Arial"/>
      </rPr>
      <t>) (C10, C11) (taper</t>
    </r>
    <r>
      <rPr>
        <b/>
        <sz val="10"/>
        <rFont val="Arial"/>
        <family val="2"/>
      </rPr>
      <t xml:space="preserve"> </t>
    </r>
    <r>
      <rPr>
        <b/>
        <sz val="11"/>
        <rFont val="Arial"/>
        <family val="2"/>
      </rPr>
      <t>Y</t>
    </r>
    <r>
      <rPr>
        <sz val="10"/>
        <rFont val="Arial"/>
      </rPr>
      <t>)</t>
    </r>
  </si>
  <si>
    <t>X</t>
  </si>
  <si>
    <t>X ou Y</t>
  </si>
  <si>
    <t xml:space="preserve">NOMBRE EFFICACE </t>
  </si>
  <si>
    <t>Lettre X ou Y</t>
  </si>
  <si>
    <t>0,5d &lt; t &lt; d, mini rupture mode 1,2 ou 3 (*)</t>
  </si>
  <si>
    <t>Pointes cylindriques "L", pointes carrées "C"</t>
  </si>
  <si>
    <t>Hauteur poutre</t>
  </si>
  <si>
    <t>longueur appui</t>
  </si>
  <si>
    <r>
      <t>K</t>
    </r>
    <r>
      <rPr>
        <vertAlign val="subscript"/>
        <sz val="14"/>
        <rFont val="Arial"/>
        <family val="2"/>
      </rPr>
      <t>c,90 appui extérieur</t>
    </r>
  </si>
  <si>
    <t>90°&lt;α&lt;150°</t>
  </si>
  <si>
    <t>150°&lt;α&lt;210°</t>
  </si>
  <si>
    <t>210°&lt;α&lt;270°</t>
  </si>
  <si>
    <t>a1 réel (mm)</t>
  </si>
  <si>
    <r>
      <t>OSB "</t>
    </r>
    <r>
      <rPr>
        <sz val="14"/>
        <rFont val="Arial"/>
        <family val="2"/>
      </rPr>
      <t>O</t>
    </r>
    <r>
      <rPr>
        <sz val="10"/>
        <rFont val="Arial"/>
      </rPr>
      <t>"  CP"</t>
    </r>
    <r>
      <rPr>
        <sz val="14"/>
        <rFont val="Arial"/>
        <family val="2"/>
      </rPr>
      <t>P</t>
    </r>
    <r>
      <rPr>
        <sz val="10"/>
        <rFont val="Arial"/>
      </rPr>
      <t>"</t>
    </r>
  </si>
  <si>
    <t>O,P</t>
  </si>
  <si>
    <t>Indiquer la lettre O, P</t>
  </si>
  <si>
    <t>Indiquer la lettre R, F</t>
  </si>
  <si>
    <r>
      <t xml:space="preserve">Masse volumique  </t>
    </r>
    <r>
      <rPr>
        <sz val="14"/>
        <rFont val="Symbol"/>
        <family val="1"/>
        <charset val="2"/>
      </rPr>
      <t>r</t>
    </r>
    <r>
      <rPr>
        <sz val="10"/>
        <rFont val="Arial"/>
      </rPr>
      <t>k du CP,</t>
    </r>
    <r>
      <rPr>
        <sz val="8"/>
        <rFont val="Arial"/>
        <family val="2"/>
      </rPr>
      <t>inutile pour OSB</t>
    </r>
  </si>
  <si>
    <r>
      <t xml:space="preserve">Epaisseur </t>
    </r>
    <r>
      <rPr>
        <b/>
        <sz val="10"/>
        <rFont val="Arial"/>
        <family val="2"/>
      </rPr>
      <t xml:space="preserve">CP ou OSB </t>
    </r>
    <r>
      <rPr>
        <sz val="10"/>
        <rFont val="Arial"/>
      </rPr>
      <t xml:space="preserve"> t1</t>
    </r>
  </si>
  <si>
    <r>
      <t xml:space="preserve">Portance locale </t>
    </r>
    <r>
      <rPr>
        <b/>
        <sz val="10"/>
        <rFont val="Arial"/>
        <family val="2"/>
      </rPr>
      <t>CP</t>
    </r>
    <r>
      <rPr>
        <sz val="10"/>
        <rFont val="Arial"/>
      </rPr>
      <t xml:space="preserve"> ou </t>
    </r>
    <r>
      <rPr>
        <b/>
        <sz val="10"/>
        <rFont val="Arial"/>
        <family val="2"/>
      </rPr>
      <t>OSB</t>
    </r>
    <r>
      <rPr>
        <sz val="10"/>
        <rFont val="Arial"/>
      </rPr>
      <t xml:space="preserve"> sur t1</t>
    </r>
  </si>
  <si>
    <t>fh0k OSB</t>
  </si>
  <si>
    <r>
      <t>ASSEMBLAGES PAR BOULONS OU PAR BROCHES</t>
    </r>
    <r>
      <rPr>
        <sz val="14"/>
        <color indexed="10"/>
        <rFont val="Arial Black"/>
        <family val="2"/>
      </rPr>
      <t xml:space="preserve"> BOIS / CP ou OSB</t>
    </r>
  </si>
  <si>
    <t>racine k</t>
  </si>
  <si>
    <t>racine m</t>
  </si>
  <si>
    <t>sans avant-trous (bois peu fissiles)</t>
  </si>
  <si>
    <t>Panneau</t>
  </si>
  <si>
    <t>C ou B</t>
  </si>
  <si>
    <t>Indiquer la lettre C, B</t>
  </si>
  <si>
    <r>
      <t xml:space="preserve">ASSEMBLAGES PAR BOULONS OU PAR BROCHES - BOIS OU CP / ACIER </t>
    </r>
    <r>
      <rPr>
        <sz val="9"/>
        <color indexed="10"/>
        <rFont val="Arial Black"/>
        <family val="2"/>
      </rPr>
      <t>(SIMPLE CISAILLEMENT)</t>
    </r>
  </si>
  <si>
    <r>
      <t>ASSEMBLAGES BOULONS OU BROCHES - ACIER Plaque centrale / BOIS OU CP</t>
    </r>
    <r>
      <rPr>
        <sz val="9"/>
        <color indexed="10"/>
        <rFont val="Arial Black"/>
        <family val="2"/>
      </rPr>
      <t xml:space="preserve"> (2X CISAILLEMENT)</t>
    </r>
  </si>
  <si>
    <r>
      <t xml:space="preserve">ASSEMBLAGES PAR POINTES - BOIS / ACIER </t>
    </r>
    <r>
      <rPr>
        <sz val="9"/>
        <color indexed="10"/>
        <rFont val="Arial Black"/>
        <family val="2"/>
      </rPr>
      <t>(SIMPLE CISAILLEMENT)</t>
    </r>
  </si>
  <si>
    <r>
      <t>Résineux "</t>
    </r>
    <r>
      <rPr>
        <sz val="14"/>
        <rFont val="Arial"/>
        <family val="2"/>
      </rPr>
      <t>R</t>
    </r>
    <r>
      <rPr>
        <sz val="10"/>
        <rFont val="Arial"/>
      </rPr>
      <t>" Feuillus "</t>
    </r>
    <r>
      <rPr>
        <sz val="14"/>
        <rFont val="Arial"/>
        <family val="2"/>
      </rPr>
      <t>F</t>
    </r>
    <r>
      <rPr>
        <sz val="10"/>
        <rFont val="Arial"/>
      </rPr>
      <t xml:space="preserve">" </t>
    </r>
  </si>
  <si>
    <r>
      <t xml:space="preserve">Masse volumique  </t>
    </r>
    <r>
      <rPr>
        <sz val="14"/>
        <rFont val="Symbol"/>
        <family val="1"/>
        <charset val="2"/>
      </rPr>
      <t>r</t>
    </r>
    <r>
      <rPr>
        <sz val="10"/>
        <rFont val="Arial"/>
      </rPr>
      <t xml:space="preserve">k du bois </t>
    </r>
  </si>
  <si>
    <t>Epaisseur plaque métallique t (&lt;0,5 d)</t>
  </si>
  <si>
    <t>Diamétre de la pointe</t>
  </si>
  <si>
    <t>Résistance caractéristique de la pointe</t>
  </si>
  <si>
    <t>Enfoncement dans le bois</t>
  </si>
  <si>
    <t>Espacement</t>
  </si>
  <si>
    <t>A1</t>
  </si>
  <si>
    <t>I1</t>
  </si>
  <si>
    <t>A2</t>
  </si>
  <si>
    <t>I2</t>
  </si>
  <si>
    <t>Gamma 2</t>
  </si>
  <si>
    <t>gamma 1</t>
  </si>
  <si>
    <t>EI(eff)</t>
  </si>
  <si>
    <t>portée</t>
  </si>
  <si>
    <t>Nmm²</t>
  </si>
  <si>
    <t>Moment de flexion</t>
  </si>
  <si>
    <t>Nmm</t>
  </si>
  <si>
    <t>h1</t>
  </si>
  <si>
    <t>b1</t>
  </si>
  <si>
    <t>E1</t>
  </si>
  <si>
    <t>E2</t>
  </si>
  <si>
    <t>b2</t>
  </si>
  <si>
    <t>h2</t>
  </si>
  <si>
    <t>Chargement</t>
  </si>
  <si>
    <t>Contre plaqué "C" OSB "B"</t>
  </si>
  <si>
    <t>nb de tirefonds sollicités axialement dans l'assemblage</t>
  </si>
  <si>
    <t>fax</t>
  </si>
  <si>
    <t>Pour les tire-fonds d’un ø &lt; à 6mm, on applique les mêmes règles que pour les pointes.</t>
  </si>
  <si>
    <t>Pour les tire-fonds d’un ø &gt; à 6mm, on applique les mêmes règles que pour les boulons</t>
  </si>
  <si>
    <t>t1/3hc</t>
  </si>
  <si>
    <t>t2/5hc</t>
  </si>
  <si>
    <t>Hauteur de l'anneau, he dans le bois</t>
  </si>
  <si>
    <r>
      <t xml:space="preserve">Bois/Bois </t>
    </r>
    <r>
      <rPr>
        <b/>
        <sz val="10"/>
        <rFont val="Arial"/>
        <family val="2"/>
      </rPr>
      <t>B</t>
    </r>
    <r>
      <rPr>
        <sz val="10"/>
        <rFont val="Arial"/>
      </rPr>
      <t xml:space="preserve">; Bois/Métal </t>
    </r>
    <r>
      <rPr>
        <b/>
        <sz val="10"/>
        <rFont val="Arial"/>
        <family val="2"/>
      </rPr>
      <t>M</t>
    </r>
  </si>
  <si>
    <t>B ou M</t>
  </si>
  <si>
    <t>he</t>
  </si>
  <si>
    <t>Attention travail en cours, pas de protection de cellule</t>
  </si>
  <si>
    <t>PLANCHER COMPOSE ( panneau + solive )</t>
  </si>
  <si>
    <t>KN/m</t>
  </si>
  <si>
    <r>
      <t>K</t>
    </r>
    <r>
      <rPr>
        <vertAlign val="subscript"/>
        <sz val="14"/>
        <rFont val="Arial"/>
        <family val="2"/>
      </rPr>
      <t>c,90 appui intérieur</t>
    </r>
  </si>
  <si>
    <t>Wpl</t>
  </si>
  <si>
    <r>
      <t>F</t>
    </r>
    <r>
      <rPr>
        <b/>
        <vertAlign val="subscript"/>
        <sz val="14"/>
        <rFont val="Arial"/>
      </rPr>
      <t>90,Rk</t>
    </r>
  </si>
  <si>
    <t>Hauteur efficace</t>
  </si>
  <si>
    <t>Largeur bois</t>
  </si>
  <si>
    <t>w</t>
  </si>
  <si>
    <t>w plaque</t>
  </si>
  <si>
    <t>racine</t>
  </si>
  <si>
    <r>
      <t>Poutres IV ou courbes coefficient : k</t>
    </r>
    <r>
      <rPr>
        <b/>
        <vertAlign val="subscript"/>
        <sz val="20"/>
        <color indexed="10"/>
        <rFont val="Arial"/>
        <family val="2"/>
      </rPr>
      <t>m,</t>
    </r>
    <r>
      <rPr>
        <b/>
        <vertAlign val="subscript"/>
        <sz val="20"/>
        <color indexed="10"/>
        <rFont val="Symbol"/>
        <family val="1"/>
        <charset val="2"/>
      </rPr>
      <t>a</t>
    </r>
    <r>
      <rPr>
        <b/>
        <sz val="20"/>
        <color indexed="10"/>
        <rFont val="Arial"/>
        <family val="2"/>
      </rPr>
      <t xml:space="preserve"> k</t>
    </r>
    <r>
      <rPr>
        <b/>
        <vertAlign val="subscript"/>
        <sz val="20"/>
        <color indexed="10"/>
        <rFont val="Arial"/>
        <family val="2"/>
      </rPr>
      <t>l</t>
    </r>
    <r>
      <rPr>
        <b/>
        <sz val="20"/>
        <color indexed="10"/>
        <rFont val="Arial"/>
        <family val="2"/>
      </rPr>
      <t xml:space="preserve"> K</t>
    </r>
    <r>
      <rPr>
        <b/>
        <vertAlign val="subscript"/>
        <sz val="20"/>
        <color indexed="10"/>
        <rFont val="Arial"/>
        <family val="2"/>
      </rPr>
      <t>r</t>
    </r>
    <r>
      <rPr>
        <b/>
        <sz val="20"/>
        <color indexed="10"/>
        <rFont val="Arial"/>
        <family val="2"/>
      </rPr>
      <t xml:space="preserve"> k</t>
    </r>
    <r>
      <rPr>
        <b/>
        <vertAlign val="subscript"/>
        <sz val="20"/>
        <color indexed="10"/>
        <rFont val="Arial"/>
        <family val="2"/>
      </rPr>
      <t>p</t>
    </r>
  </si>
  <si>
    <t>Lg &lt; 6.50</t>
  </si>
  <si>
    <t>MPa</t>
  </si>
  <si>
    <r>
      <t>km,</t>
    </r>
    <r>
      <rPr>
        <b/>
        <sz val="14"/>
        <rFont val="Symbol"/>
        <family val="1"/>
        <charset val="2"/>
      </rPr>
      <t>a</t>
    </r>
  </si>
  <si>
    <t xml:space="preserve">angle de décroissance </t>
  </si>
  <si>
    <t>face tendue</t>
  </si>
  <si>
    <t>face comprimée</t>
  </si>
  <si>
    <r>
      <t xml:space="preserve">angle </t>
    </r>
    <r>
      <rPr>
        <b/>
        <sz val="10"/>
        <rFont val="Symbol"/>
        <family val="1"/>
        <charset val="2"/>
      </rPr>
      <t>a</t>
    </r>
  </si>
  <si>
    <t>hauteur poutre au faîtage</t>
  </si>
  <si>
    <t>rayon intérieur</t>
  </si>
  <si>
    <t>angle d'inclinaison au faîtage</t>
  </si>
  <si>
    <r>
      <t>a</t>
    </r>
    <r>
      <rPr>
        <b/>
        <sz val="10"/>
        <rFont val="Verdana"/>
        <family val="2"/>
      </rPr>
      <t>ap</t>
    </r>
  </si>
  <si>
    <t>angle rd</t>
  </si>
  <si>
    <t>tan</t>
  </si>
  <si>
    <t>tan²</t>
  </si>
  <si>
    <t>bas1</t>
  </si>
  <si>
    <t>bas2</t>
  </si>
  <si>
    <t>bas3</t>
  </si>
  <si>
    <t>bas4</t>
  </si>
  <si>
    <t>ep lamelle</t>
  </si>
  <si>
    <t>nota : si poutre droite, porter r int = 100</t>
  </si>
  <si>
    <t>Angle effort / fil</t>
  </si>
  <si>
    <t xml:space="preserve">Kr s'applique aux poutres courbes - Si poutre à double décroissance, kr = 1. </t>
  </si>
  <si>
    <t>Kc,90    Compression transversale sur appuis</t>
  </si>
  <si>
    <t>Coefficient kc,90 pour compression transversale sur appuis</t>
  </si>
  <si>
    <t>y</t>
  </si>
  <si>
    <t>rappel : Kn = 5 BM ; Kn = 6.5 LC; LVL = 4.5</t>
  </si>
  <si>
    <t>i = pente, soit y/(h-he)</t>
  </si>
  <si>
    <t>CISAILLEMENT</t>
  </si>
  <si>
    <r>
      <t xml:space="preserve">Assemblage chargé en traction </t>
    </r>
    <r>
      <rPr>
        <b/>
        <sz val="10"/>
        <rFont val="Arial"/>
        <family val="2"/>
      </rPr>
      <t>T</t>
    </r>
    <r>
      <rPr>
        <sz val="10"/>
        <rFont val="Arial"/>
      </rPr>
      <t xml:space="preserve">, en compression </t>
    </r>
    <r>
      <rPr>
        <b/>
        <sz val="10"/>
        <rFont val="Arial"/>
        <family val="2"/>
      </rPr>
      <t>C</t>
    </r>
    <r>
      <rPr>
        <sz val="10"/>
        <rFont val="Arial"/>
      </rPr>
      <t xml:space="preserve"> sinon </t>
    </r>
    <r>
      <rPr>
        <b/>
        <sz val="10"/>
        <rFont val="Arial"/>
        <family val="2"/>
      </rPr>
      <t>A</t>
    </r>
  </si>
  <si>
    <t>T ou C ou A</t>
  </si>
  <si>
    <t>(*1)</t>
  </si>
  <si>
    <r>
      <t>t</t>
    </r>
    <r>
      <rPr>
        <sz val="10"/>
        <rFont val="Arial"/>
        <family val="2"/>
      </rPr>
      <t xml:space="preserve">2 </t>
    </r>
  </si>
  <si>
    <r>
      <t xml:space="preserve">mm </t>
    </r>
    <r>
      <rPr>
        <b/>
        <i/>
        <sz val="10"/>
        <rFont val="Arial"/>
        <family val="2"/>
      </rPr>
      <t>(*2)</t>
    </r>
  </si>
  <si>
    <t>en degré (*2)</t>
  </si>
  <si>
    <t>(*1) si assemblage Bois/Bois de deux pièces, porter le plus pénalisant : par ordre T, A, C</t>
  </si>
  <si>
    <r>
      <t>d</t>
    </r>
    <r>
      <rPr>
        <b/>
        <vertAlign val="subscript"/>
        <sz val="12"/>
        <rFont val="Arial"/>
        <family val="2"/>
      </rPr>
      <t>c</t>
    </r>
  </si>
  <si>
    <r>
      <t>k</t>
    </r>
    <r>
      <rPr>
        <vertAlign val="subscript"/>
        <sz val="10"/>
        <rFont val="Arial"/>
        <family val="2"/>
      </rPr>
      <t>a1</t>
    </r>
    <r>
      <rPr>
        <sz val="10"/>
        <rFont val="Arial"/>
        <family val="2"/>
      </rPr>
      <t>, facteur de réduction de a1 (choix entre 0,5 et 1)</t>
    </r>
  </si>
  <si>
    <r>
      <t>a1 définitif (prise en compte de k</t>
    </r>
    <r>
      <rPr>
        <vertAlign val="subscript"/>
        <sz val="10"/>
        <rFont val="Arial"/>
        <family val="2"/>
      </rPr>
      <t>a1</t>
    </r>
    <r>
      <rPr>
        <sz val="10"/>
        <rFont val="Arial"/>
        <family val="2"/>
      </rPr>
      <t xml:space="preserve">)  </t>
    </r>
  </si>
  <si>
    <t>Type C1 à C9</t>
  </si>
  <si>
    <t>Type C10, C11</t>
  </si>
  <si>
    <t>t1/3he</t>
  </si>
  <si>
    <t>t2/5he</t>
  </si>
  <si>
    <t>a3</t>
  </si>
  <si>
    <r>
      <t>Crampons simple face (</t>
    </r>
    <r>
      <rPr>
        <b/>
        <sz val="10"/>
        <rFont val="Arial"/>
        <family val="2"/>
      </rPr>
      <t>S</t>
    </r>
    <r>
      <rPr>
        <sz val="10"/>
        <rFont val="Arial"/>
      </rPr>
      <t>), crampons double face (</t>
    </r>
    <r>
      <rPr>
        <b/>
        <sz val="10"/>
        <rFont val="Arial"/>
        <family val="2"/>
      </rPr>
      <t>D</t>
    </r>
    <r>
      <rPr>
        <sz val="10"/>
        <rFont val="Arial"/>
      </rPr>
      <t>)</t>
    </r>
  </si>
  <si>
    <t>Diamétre ou côté du crampon</t>
  </si>
  <si>
    <t>Résistance pour un crampon avec effet du boulon</t>
  </si>
  <si>
    <t>(Excel)</t>
  </si>
  <si>
    <t>Diamétre du boulon d'assemblage</t>
  </si>
  <si>
    <t>Nombre de crampons dans l'assemblage</t>
  </si>
  <si>
    <t>Caractéristiques</t>
  </si>
  <si>
    <t>Effet du boulon calculé sur feuille excel "boulon" Rk boulon</t>
  </si>
  <si>
    <t>32  Gers</t>
  </si>
  <si>
    <t>64  Pyrénées-Atlantiques</t>
  </si>
  <si>
    <t>33  Gironde</t>
  </si>
  <si>
    <t>65  Hautes-Pyrénées</t>
  </si>
  <si>
    <t>03  Allier</t>
  </si>
  <si>
    <t>04  Alpes-de-Haute-Provence</t>
  </si>
  <si>
    <t>35  Ille-et-Vilaine</t>
  </si>
  <si>
    <t>05  Hautes-Alpes</t>
  </si>
  <si>
    <t>36  Indre</t>
  </si>
  <si>
    <t>68  Haut-Rhin</t>
  </si>
  <si>
    <t>37  Indre-et-Loire</t>
  </si>
  <si>
    <t>69  Rhône</t>
  </si>
  <si>
    <t>07  Ardèche</t>
  </si>
  <si>
    <t>38  Isère</t>
  </si>
  <si>
    <t>09  Ariège</t>
  </si>
  <si>
    <t>40  Landes</t>
  </si>
  <si>
    <t>72  Sarthe</t>
  </si>
  <si>
    <t>41  Loir-et-Cher</t>
  </si>
  <si>
    <t>42  Loire</t>
  </si>
  <si>
    <t>12  Aveyron</t>
  </si>
  <si>
    <t>43  Haute-Loire</t>
  </si>
  <si>
    <t>75  Paris</t>
  </si>
  <si>
    <t>13  Bouches-du-Rhône</t>
  </si>
  <si>
    <t>44  Loire-Atlantique</t>
  </si>
  <si>
    <t>76  Seine-Maritime</t>
  </si>
  <si>
    <t>14  Calvados</t>
  </si>
  <si>
    <t>45  Loiret</t>
  </si>
  <si>
    <t>77  Seine-et-Marne</t>
  </si>
  <si>
    <t>15  Cantal</t>
  </si>
  <si>
    <t>46  Lot</t>
  </si>
  <si>
    <t>78  Yvelines</t>
  </si>
  <si>
    <t>16  Charente</t>
  </si>
  <si>
    <t>47  Lot-et-Garonne</t>
  </si>
  <si>
    <t>79  Deux-Sèvres</t>
  </si>
  <si>
    <t>17  Charente-Maritime</t>
  </si>
  <si>
    <t>48  Lozère</t>
  </si>
  <si>
    <t>80  Somme</t>
  </si>
  <si>
    <t>18  Cher</t>
  </si>
  <si>
    <t>49  Maine-et-Loire</t>
  </si>
  <si>
    <t>19  Corrèze</t>
  </si>
  <si>
    <t>50  Manche</t>
  </si>
  <si>
    <t>82  Tarn-et-Garonne</t>
  </si>
  <si>
    <t>2B  Haute-Corse</t>
  </si>
  <si>
    <t>51  Marne</t>
  </si>
  <si>
    <t>2A  Corse-du-Sud</t>
  </si>
  <si>
    <t>52  Haute-Marne</t>
  </si>
  <si>
    <t>21  Côte d’Or</t>
  </si>
  <si>
    <t>53  Mayenne</t>
  </si>
  <si>
    <t>85  Vendée</t>
  </si>
  <si>
    <t>22  Côtes-d'Armor</t>
  </si>
  <si>
    <t>86  Vienne</t>
  </si>
  <si>
    <t>23  Creuse</t>
  </si>
  <si>
    <t>87  Haute-Vienne</t>
  </si>
  <si>
    <t>24  Dordogne</t>
  </si>
  <si>
    <t>56  Morbihan</t>
  </si>
  <si>
    <t>89  Yonne</t>
  </si>
  <si>
    <t>26  Drôme</t>
  </si>
  <si>
    <t>58  Nièvre</t>
  </si>
  <si>
    <t>90  Territoire de Belfort</t>
  </si>
  <si>
    <t>27  Eure</t>
  </si>
  <si>
    <t>91  Essonne</t>
  </si>
  <si>
    <t>28  Eure-et-Loir</t>
  </si>
  <si>
    <t>60  Oise</t>
  </si>
  <si>
    <t>92  Hauts-de-Seine</t>
  </si>
  <si>
    <t>29  Finistère</t>
  </si>
  <si>
    <t>61  Orne</t>
  </si>
  <si>
    <t>93  Seine-Saint-Denis</t>
  </si>
  <si>
    <t>30  Gard</t>
  </si>
  <si>
    <t>62  Pas-de-Calais</t>
  </si>
  <si>
    <t>94  Val-de-Marne</t>
  </si>
  <si>
    <t>63  Puy-de-Dôme</t>
  </si>
  <si>
    <t>95  Val-d'Oise</t>
  </si>
  <si>
    <t xml:space="preserve">A2 </t>
  </si>
  <si>
    <t xml:space="preserve">A1 </t>
  </si>
  <si>
    <r>
      <t>Charge de neige accidentelle,</t>
    </r>
    <r>
      <rPr>
        <b/>
        <sz val="9"/>
        <rFont val="Arial"/>
        <family val="2"/>
      </rPr>
      <t xml:space="preserve"> Sad =</t>
    </r>
  </si>
  <si>
    <t>RAS</t>
  </si>
  <si>
    <r>
      <t xml:space="preserve">1- SELECTIONNER LA ZONE GEOGRAPHIQUE </t>
    </r>
    <r>
      <rPr>
        <b/>
        <u/>
        <sz val="8"/>
        <color indexed="10"/>
        <rFont val="Arial"/>
        <family val="2"/>
      </rPr>
      <t>(par le menu)</t>
    </r>
  </si>
  <si>
    <t>Altitude =</t>
  </si>
  <si>
    <r>
      <t xml:space="preserve">2- INDIQUER L'ALTITUDE </t>
    </r>
    <r>
      <rPr>
        <b/>
        <u/>
        <sz val="8"/>
        <color indexed="10"/>
        <rFont val="Arial"/>
        <family val="2"/>
      </rPr>
      <t>(par le curseur)</t>
    </r>
  </si>
  <si>
    <r>
      <t>Charge de neige,</t>
    </r>
    <r>
      <rPr>
        <b/>
        <sz val="9"/>
        <rFont val="Arial"/>
        <family val="2"/>
      </rPr>
      <t xml:space="preserve"> Sk </t>
    </r>
    <r>
      <rPr>
        <b/>
        <vertAlign val="subscript"/>
        <sz val="9"/>
        <rFont val="Arial"/>
        <family val="2"/>
      </rPr>
      <t>200</t>
    </r>
    <r>
      <rPr>
        <b/>
        <sz val="9"/>
        <rFont val="Arial"/>
        <family val="2"/>
      </rPr>
      <t xml:space="preserve"> =      </t>
    </r>
  </si>
  <si>
    <t>Compte tenu de l'altitude, la charge de neige Sk est de =</t>
  </si>
  <si>
    <t>&lt;500</t>
  </si>
  <si>
    <t>ZONE</t>
  </si>
  <si>
    <t>&lt;1000</t>
  </si>
  <si>
    <t>&lt;2000</t>
  </si>
  <si>
    <t>Rapport Sad / Sk =</t>
  </si>
  <si>
    <r>
      <t xml:space="preserve">PENTE </t>
    </r>
    <r>
      <rPr>
        <b/>
        <sz val="12"/>
        <rFont val="Symbol"/>
        <family val="1"/>
        <charset val="2"/>
      </rPr>
      <t>a</t>
    </r>
    <r>
      <rPr>
        <b/>
        <sz val="8"/>
        <rFont val="Arial"/>
        <family val="2"/>
      </rPr>
      <t>1 EN %</t>
    </r>
  </si>
  <si>
    <r>
      <t xml:space="preserve">PENTE </t>
    </r>
    <r>
      <rPr>
        <b/>
        <sz val="12"/>
        <rFont val="Symbol"/>
        <family val="1"/>
        <charset val="2"/>
      </rPr>
      <t>a</t>
    </r>
    <r>
      <rPr>
        <b/>
        <sz val="10"/>
        <rFont val="Symbol"/>
        <family val="1"/>
        <charset val="2"/>
      </rPr>
      <t>2</t>
    </r>
    <r>
      <rPr>
        <b/>
        <sz val="8"/>
        <rFont val="Arial"/>
        <family val="2"/>
      </rPr>
      <t xml:space="preserve"> EN %</t>
    </r>
  </si>
  <si>
    <t>pente versant gauche</t>
  </si>
  <si>
    <t>pente versant droit</t>
  </si>
  <si>
    <t>NS</t>
  </si>
  <si>
    <t>4- CHARGE DE NEIGE</t>
  </si>
  <si>
    <r>
      <t>S</t>
    </r>
    <r>
      <rPr>
        <b/>
        <vertAlign val="subscript"/>
        <sz val="12"/>
        <rFont val="Verdana"/>
        <family val="2"/>
      </rPr>
      <t>ad</t>
    </r>
    <r>
      <rPr>
        <b/>
        <sz val="12"/>
        <rFont val="Verdana"/>
        <family val="2"/>
      </rPr>
      <t xml:space="preserve"> = </t>
    </r>
    <r>
      <rPr>
        <b/>
        <i/>
        <sz val="12"/>
        <rFont val="Symbol"/>
        <family val="1"/>
        <charset val="2"/>
      </rPr>
      <t>m</t>
    </r>
    <r>
      <rPr>
        <b/>
        <vertAlign val="subscript"/>
        <sz val="12"/>
        <rFont val="Verdana"/>
        <family val="2"/>
      </rPr>
      <t>i</t>
    </r>
    <r>
      <rPr>
        <b/>
        <sz val="12"/>
        <rFont val="Verdana"/>
        <family val="2"/>
      </rPr>
      <t>.C</t>
    </r>
    <r>
      <rPr>
        <b/>
        <vertAlign val="subscript"/>
        <sz val="12"/>
        <rFont val="Verdana"/>
        <family val="2"/>
      </rPr>
      <t>e</t>
    </r>
    <r>
      <rPr>
        <b/>
        <sz val="12"/>
        <rFont val="Verdana"/>
        <family val="2"/>
      </rPr>
      <t>.C</t>
    </r>
    <r>
      <rPr>
        <b/>
        <vertAlign val="subscript"/>
        <sz val="12"/>
        <rFont val="Verdana"/>
        <family val="2"/>
      </rPr>
      <t>t</t>
    </r>
    <r>
      <rPr>
        <b/>
        <sz val="12"/>
        <rFont val="Verdana"/>
        <family val="2"/>
      </rPr>
      <t>.</t>
    </r>
    <r>
      <rPr>
        <b/>
        <i/>
        <sz val="12"/>
        <rFont val="Verdana"/>
        <family val="2"/>
      </rPr>
      <t>s</t>
    </r>
    <r>
      <rPr>
        <b/>
        <i/>
        <vertAlign val="subscript"/>
        <sz val="12"/>
        <rFont val="Verdana"/>
        <family val="2"/>
      </rPr>
      <t>ad</t>
    </r>
    <r>
      <rPr>
        <b/>
        <sz val="12"/>
        <rFont val="Verdana"/>
        <family val="2"/>
      </rPr>
      <t xml:space="preserve"> + </t>
    </r>
    <r>
      <rPr>
        <b/>
        <i/>
        <sz val="12"/>
        <rFont val="Verdana"/>
        <family val="2"/>
      </rPr>
      <t>s</t>
    </r>
    <r>
      <rPr>
        <b/>
        <vertAlign val="subscript"/>
        <sz val="12"/>
        <rFont val="Verdana"/>
        <family val="2"/>
      </rPr>
      <t>1</t>
    </r>
    <r>
      <rPr>
        <b/>
        <sz val="12"/>
        <rFont val="Verdana"/>
        <family val="2"/>
      </rPr>
      <t xml:space="preserve"> </t>
    </r>
  </si>
  <si>
    <r>
      <t xml:space="preserve">S = </t>
    </r>
    <r>
      <rPr>
        <b/>
        <i/>
        <sz val="12"/>
        <rFont val="Symbol"/>
        <family val="1"/>
        <charset val="2"/>
      </rPr>
      <t>m</t>
    </r>
    <r>
      <rPr>
        <b/>
        <vertAlign val="subscript"/>
        <sz val="12"/>
        <rFont val="Verdana"/>
        <family val="2"/>
      </rPr>
      <t>i</t>
    </r>
    <r>
      <rPr>
        <b/>
        <sz val="12"/>
        <rFont val="Verdana"/>
        <family val="2"/>
      </rPr>
      <t>.C</t>
    </r>
    <r>
      <rPr>
        <b/>
        <vertAlign val="subscript"/>
        <sz val="12"/>
        <rFont val="Verdana"/>
        <family val="2"/>
      </rPr>
      <t>e</t>
    </r>
    <r>
      <rPr>
        <b/>
        <sz val="12"/>
        <rFont val="Verdana"/>
        <family val="2"/>
      </rPr>
      <t>.C</t>
    </r>
    <r>
      <rPr>
        <b/>
        <vertAlign val="subscript"/>
        <sz val="12"/>
        <rFont val="Verdana"/>
        <family val="2"/>
      </rPr>
      <t>t</t>
    </r>
    <r>
      <rPr>
        <b/>
        <sz val="12"/>
        <rFont val="Verdana"/>
        <family val="2"/>
      </rPr>
      <t>.</t>
    </r>
    <r>
      <rPr>
        <b/>
        <i/>
        <sz val="12"/>
        <rFont val="Verdana"/>
        <family val="2"/>
      </rPr>
      <t>s</t>
    </r>
    <r>
      <rPr>
        <b/>
        <vertAlign val="subscript"/>
        <sz val="12"/>
        <rFont val="Verdana"/>
        <family val="2"/>
      </rPr>
      <t>k</t>
    </r>
    <r>
      <rPr>
        <b/>
        <sz val="12"/>
        <rFont val="Verdana"/>
        <family val="2"/>
      </rPr>
      <t xml:space="preserve"> + </t>
    </r>
    <r>
      <rPr>
        <b/>
        <i/>
        <sz val="12"/>
        <rFont val="Verdana"/>
        <family val="2"/>
      </rPr>
      <t>s</t>
    </r>
    <r>
      <rPr>
        <b/>
        <vertAlign val="subscript"/>
        <sz val="12"/>
        <rFont val="Verdana"/>
        <family val="2"/>
      </rPr>
      <t>1</t>
    </r>
    <r>
      <rPr>
        <b/>
        <sz val="12"/>
        <rFont val="Verdana"/>
        <family val="2"/>
      </rPr>
      <t xml:space="preserve"> </t>
    </r>
  </si>
  <si>
    <r>
      <t>m</t>
    </r>
    <r>
      <rPr>
        <b/>
        <sz val="8"/>
        <rFont val="Arial"/>
        <family val="2"/>
      </rPr>
      <t>1 (</t>
    </r>
    <r>
      <rPr>
        <b/>
        <sz val="8"/>
        <rFont val="Symbol"/>
        <family val="1"/>
        <charset val="2"/>
      </rPr>
      <t>a</t>
    </r>
    <r>
      <rPr>
        <b/>
        <sz val="8"/>
        <rFont val="Arial"/>
        <family val="2"/>
      </rPr>
      <t>1)</t>
    </r>
  </si>
  <si>
    <r>
      <t>m</t>
    </r>
    <r>
      <rPr>
        <b/>
        <sz val="8"/>
        <rFont val="Arial"/>
        <family val="2"/>
      </rPr>
      <t>1 (</t>
    </r>
    <r>
      <rPr>
        <b/>
        <sz val="8"/>
        <rFont val="Symbol"/>
        <family val="1"/>
        <charset val="2"/>
      </rPr>
      <t>a2</t>
    </r>
    <r>
      <rPr>
        <b/>
        <sz val="8"/>
        <rFont val="Arial"/>
        <family val="2"/>
      </rPr>
      <t>)</t>
    </r>
  </si>
  <si>
    <r>
      <t>m2</t>
    </r>
    <r>
      <rPr>
        <b/>
        <sz val="8"/>
        <rFont val="Arial"/>
        <family val="2"/>
      </rPr>
      <t xml:space="preserve"> (</t>
    </r>
    <r>
      <rPr>
        <b/>
        <sz val="8"/>
        <rFont val="Symbol"/>
        <family val="1"/>
        <charset val="2"/>
      </rPr>
      <t>a</t>
    </r>
    <r>
      <rPr>
        <b/>
        <sz val="8"/>
        <rFont val="Arial"/>
        <family val="2"/>
      </rPr>
      <t>)</t>
    </r>
  </si>
  <si>
    <t>m3</t>
  </si>
  <si>
    <t>CHARGE</t>
  </si>
  <si>
    <t>versant gauche</t>
  </si>
  <si>
    <t>versant droit</t>
  </si>
  <si>
    <t>cas (i)</t>
  </si>
  <si>
    <t>Majoration S1 pour faible pente</t>
  </si>
  <si>
    <t>cas (ii)</t>
  </si>
  <si>
    <t>cas (iii)</t>
  </si>
  <si>
    <t>Toiture à versants multiples</t>
  </si>
  <si>
    <t>0.25 l1</t>
  </si>
  <si>
    <t>0.50 l1</t>
  </si>
  <si>
    <t>0.75 l1</t>
  </si>
  <si>
    <t>Ce et Ct sont pris = à 1</t>
  </si>
  <si>
    <t>01  Ain  (A2)</t>
  </si>
  <si>
    <t>01  Ain (C2)</t>
  </si>
  <si>
    <t>02  Aisne  (A1)</t>
  </si>
  <si>
    <t>02  Aisne  (C1)</t>
  </si>
  <si>
    <t>06  Alpes-Maritimes  (A2)</t>
  </si>
  <si>
    <t>06  Alpes-Maritimes  (C1)</t>
  </si>
  <si>
    <t>08  Ardennes  (A1)</t>
  </si>
  <si>
    <t>08  Ardennes  (C1)</t>
  </si>
  <si>
    <t>10  Aube  (A1)</t>
  </si>
  <si>
    <t>11  Aude  (C2)</t>
  </si>
  <si>
    <t>11  Aude  (D)</t>
  </si>
  <si>
    <t>25  Doubs  (B1)</t>
  </si>
  <si>
    <t>25  Doubs  (C1)</t>
  </si>
  <si>
    <t>25  Doubs  (E)</t>
  </si>
  <si>
    <t>31  Haute-Garonne  (A2)</t>
  </si>
  <si>
    <t>31  Haute-Garonne  (C2)</t>
  </si>
  <si>
    <t>34  Hérault  (B2)</t>
  </si>
  <si>
    <t>34  Hérault  (C2)</t>
  </si>
  <si>
    <t>39  Jura  (B1)</t>
  </si>
  <si>
    <t>39  Jura  (C1)</t>
  </si>
  <si>
    <t>54  Meurthe-et-Moselle  (A1)</t>
  </si>
  <si>
    <t>54  Meurthe-et-Moselle  (B1)</t>
  </si>
  <si>
    <t>54  Meurthe-et-Moselle  (C1)</t>
  </si>
  <si>
    <t>55  Meuse  (A1)</t>
  </si>
  <si>
    <t>55  Meuse  (C1)</t>
  </si>
  <si>
    <t>57  Moselle  (A1)</t>
  </si>
  <si>
    <t>57  Moselle  (B1)</t>
  </si>
  <si>
    <t>57  Moselle  (C1)</t>
  </si>
  <si>
    <t>59  Nord  (A1)</t>
  </si>
  <si>
    <t>59  Nord  (C1)</t>
  </si>
  <si>
    <t>66  Pyrénées-Orientales  (C2)</t>
  </si>
  <si>
    <t>66  Pyrénées-Orientales  (D)</t>
  </si>
  <si>
    <t>67  Bas-Rhin  (B1)</t>
  </si>
  <si>
    <t>67  Bas-Rhin  (C1)</t>
  </si>
  <si>
    <t>70  Haute-Saône  (B1)</t>
  </si>
  <si>
    <t>70  Haute-Saône  (C1)</t>
  </si>
  <si>
    <t>71  Saône-et-Loire  (A2)</t>
  </si>
  <si>
    <t>71  Saône-et-Loire  (B1)</t>
  </si>
  <si>
    <t>73  Savoie  (C2)</t>
  </si>
  <si>
    <t>73  Savoie  (E)</t>
  </si>
  <si>
    <t>74  Haute-Savoie  (C2)</t>
  </si>
  <si>
    <t>74  Haute-Savoie  (E)</t>
  </si>
  <si>
    <t>81  Tarn  (A2)</t>
  </si>
  <si>
    <t>81  Tarn  (C2)</t>
  </si>
  <si>
    <t>83  Var  (A2)</t>
  </si>
  <si>
    <t>83  Var  (C2)</t>
  </si>
  <si>
    <t>84  Vaucluse  (B2)</t>
  </si>
  <si>
    <t>84  Vaucluse  (C2)</t>
  </si>
  <si>
    <t>88  Vosges  (A1)</t>
  </si>
  <si>
    <t>88  Vosges  (B1)</t>
  </si>
  <si>
    <t>88  Vosges  (C1)</t>
  </si>
  <si>
    <r>
      <t xml:space="preserve">3- INDIQUER LA PENTE </t>
    </r>
    <r>
      <rPr>
        <b/>
        <u/>
        <sz val="8"/>
        <color indexed="10"/>
        <rFont val="Arial"/>
        <family val="2"/>
      </rPr>
      <t>(TYPE DE TOITURE ET COEFFICIENTS DE FORME)</t>
    </r>
  </si>
  <si>
    <t>Simple cisaillement</t>
  </si>
  <si>
    <t>Double cisaillement</t>
  </si>
  <si>
    <t>Rk</t>
  </si>
  <si>
    <t>RESULTATS Rk</t>
  </si>
  <si>
    <t xml:space="preserve">Rk à retenir </t>
  </si>
  <si>
    <t>ø des tiges</t>
  </si>
  <si>
    <t>nb de tiges sur L1</t>
  </si>
  <si>
    <t>nb de tiges sur L2</t>
  </si>
  <si>
    <t>L1</t>
  </si>
  <si>
    <t>L2</t>
  </si>
  <si>
    <t>T1</t>
  </si>
  <si>
    <t>Effort Ed</t>
  </si>
  <si>
    <t>Mode de rupture</t>
  </si>
  <si>
    <r>
      <t>F</t>
    </r>
    <r>
      <rPr>
        <b/>
        <vertAlign val="subscript"/>
        <sz val="14"/>
        <rFont val="Arial"/>
        <family val="2"/>
      </rPr>
      <t>bs,Rd</t>
    </r>
  </si>
  <si>
    <t>L net t</t>
  </si>
  <si>
    <t>L net v</t>
  </si>
  <si>
    <t>A net v</t>
  </si>
  <si>
    <t>t ef</t>
  </si>
  <si>
    <r>
      <t>M</t>
    </r>
    <r>
      <rPr>
        <b/>
        <vertAlign val="subscript"/>
        <sz val="10"/>
        <rFont val="Arial"/>
        <family val="2"/>
      </rPr>
      <t xml:space="preserve">y,Rk </t>
    </r>
    <r>
      <rPr>
        <b/>
        <sz val="9"/>
        <rFont val="Arial"/>
        <family val="2"/>
      </rPr>
      <t>Moment plastique de la tige</t>
    </r>
  </si>
  <si>
    <r>
      <t>f</t>
    </r>
    <r>
      <rPr>
        <b/>
        <vertAlign val="subscript"/>
        <sz val="10"/>
        <rFont val="Arial"/>
        <family val="2"/>
      </rPr>
      <t>h,k</t>
    </r>
    <r>
      <rPr>
        <b/>
        <sz val="10"/>
        <rFont val="Arial"/>
        <family val="2"/>
      </rPr>
      <t xml:space="preserve"> </t>
    </r>
    <r>
      <rPr>
        <b/>
        <sz val="9"/>
        <rFont val="Arial"/>
        <family val="2"/>
      </rPr>
      <t>Portance locale de la tige</t>
    </r>
  </si>
  <si>
    <t>A net t</t>
  </si>
  <si>
    <t>1.5 A ft</t>
  </si>
  <si>
    <t>0.7 A fv</t>
  </si>
  <si>
    <t>(kN)</t>
  </si>
  <si>
    <t>Ed</t>
  </si>
  <si>
    <r>
      <t>F</t>
    </r>
    <r>
      <rPr>
        <b/>
        <vertAlign val="subscript"/>
        <sz val="12"/>
        <rFont val="Arial"/>
        <family val="2"/>
      </rPr>
      <t>bs,Rd</t>
    </r>
  </si>
  <si>
    <t>E</t>
  </si>
  <si>
    <t>%</t>
  </si>
  <si>
    <r>
      <t>Contribution du boulon F</t>
    </r>
    <r>
      <rPr>
        <vertAlign val="subscript"/>
        <sz val="10"/>
        <rFont val="Arial"/>
        <family val="2"/>
      </rPr>
      <t>v,Rk</t>
    </r>
    <r>
      <rPr>
        <sz val="10"/>
        <rFont val="Arial"/>
      </rPr>
      <t xml:space="preserve"> pour un plan de cisaillement</t>
    </r>
  </si>
  <si>
    <t xml:space="preserve">ASSEMBLAGES PAR CRAMPONS BOIS / BOIS </t>
  </si>
  <si>
    <t>ASSEMBLAGES PAR CRAMPONS BOIS / METAL</t>
  </si>
  <si>
    <t xml:space="preserve">Crampons                                                                   BOIS / BOIS </t>
  </si>
  <si>
    <t>Crampons                                                                   BOIS / METAL</t>
  </si>
  <si>
    <t>Ep bois (&gt;à 2,25he)</t>
  </si>
  <si>
    <t>mm minimum</t>
  </si>
  <si>
    <r>
      <t xml:space="preserve">Ep bois </t>
    </r>
    <r>
      <rPr>
        <b/>
        <sz val="10"/>
        <rFont val="Arial"/>
        <family val="2"/>
      </rPr>
      <t>t1</t>
    </r>
    <r>
      <rPr>
        <sz val="10"/>
        <rFont val="Arial"/>
      </rPr>
      <t xml:space="preserve"> (- forte ep ou pièce latérale) attention valeur mini</t>
    </r>
  </si>
  <si>
    <t xml:space="preserve">  </t>
  </si>
  <si>
    <r>
      <t>k</t>
    </r>
    <r>
      <rPr>
        <b/>
        <vertAlign val="subscript"/>
        <sz val="12"/>
        <rFont val="Verdana"/>
        <family val="2"/>
      </rPr>
      <t>c,90</t>
    </r>
  </si>
  <si>
    <r>
      <t>k</t>
    </r>
    <r>
      <rPr>
        <b/>
        <vertAlign val="subscript"/>
        <sz val="12"/>
        <rFont val="Verdana"/>
        <family val="2"/>
      </rPr>
      <t>h</t>
    </r>
  </si>
  <si>
    <r>
      <t>k</t>
    </r>
    <r>
      <rPr>
        <b/>
        <vertAlign val="subscript"/>
        <sz val="12"/>
        <rFont val="Verdana"/>
        <family val="2"/>
      </rPr>
      <t>crit</t>
    </r>
  </si>
  <si>
    <r>
      <t>k</t>
    </r>
    <r>
      <rPr>
        <b/>
        <vertAlign val="subscript"/>
        <sz val="12"/>
        <rFont val="Verdana"/>
        <family val="2"/>
      </rPr>
      <t>v</t>
    </r>
  </si>
  <si>
    <r>
      <t>k</t>
    </r>
    <r>
      <rPr>
        <b/>
        <vertAlign val="subscript"/>
        <sz val="11"/>
        <rFont val="Verdana"/>
        <family val="2"/>
      </rPr>
      <t>m</t>
    </r>
    <r>
      <rPr>
        <b/>
        <sz val="11"/>
        <rFont val="Verdana"/>
        <family val="2"/>
      </rPr>
      <t>,k</t>
    </r>
    <r>
      <rPr>
        <b/>
        <vertAlign val="subscript"/>
        <sz val="11"/>
        <rFont val="Verdana"/>
        <family val="2"/>
      </rPr>
      <t>l,</t>
    </r>
    <r>
      <rPr>
        <b/>
        <sz val="11"/>
        <rFont val="Verdana"/>
        <family val="2"/>
      </rPr>
      <t>k</t>
    </r>
    <r>
      <rPr>
        <b/>
        <vertAlign val="subscript"/>
        <sz val="11"/>
        <rFont val="Verdana"/>
        <family val="2"/>
      </rPr>
      <t>v,</t>
    </r>
    <r>
      <rPr>
        <b/>
        <sz val="11"/>
        <rFont val="Verdana"/>
        <family val="2"/>
      </rPr>
      <t>k</t>
    </r>
    <r>
      <rPr>
        <b/>
        <vertAlign val="subscript"/>
        <sz val="11"/>
        <rFont val="Verdana"/>
        <family val="2"/>
      </rPr>
      <t>p</t>
    </r>
  </si>
  <si>
    <t>Effort tranchant</t>
  </si>
  <si>
    <t>SOLIVE</t>
  </si>
  <si>
    <t>NATURE DE LA LIAISON</t>
  </si>
  <si>
    <t>DALLE SOUS FACE DE PLANCHER</t>
  </si>
  <si>
    <t>EFFORT MAX DANS UN ASSEMBLEUR</t>
  </si>
  <si>
    <r>
      <t xml:space="preserve">CONTRAINTE MI HAUTEUR DALLE </t>
    </r>
    <r>
      <rPr>
        <b/>
        <sz val="9"/>
        <rFont val="Symbol"/>
        <family val="1"/>
        <charset val="2"/>
      </rPr>
      <t>s</t>
    </r>
    <r>
      <rPr>
        <b/>
        <sz val="9"/>
        <rFont val="Arial"/>
      </rPr>
      <t>1</t>
    </r>
  </si>
  <si>
    <r>
      <t xml:space="preserve">CONTRAINTE MI HAUTEUR SOLIVE </t>
    </r>
    <r>
      <rPr>
        <b/>
        <sz val="9"/>
        <rFont val="Symbol"/>
        <family val="1"/>
        <charset val="2"/>
      </rPr>
      <t>s2</t>
    </r>
  </si>
  <si>
    <r>
      <t xml:space="preserve">CONTRAINTE MAX DALLE </t>
    </r>
    <r>
      <rPr>
        <b/>
        <sz val="9"/>
        <rFont val="Symbol"/>
        <family val="1"/>
        <charset val="2"/>
      </rPr>
      <t>s</t>
    </r>
    <r>
      <rPr>
        <b/>
        <sz val="9"/>
        <rFont val="Arial"/>
        <family val="2"/>
      </rPr>
      <t>m</t>
    </r>
    <r>
      <rPr>
        <b/>
        <sz val="9"/>
        <rFont val="Arial"/>
      </rPr>
      <t>1</t>
    </r>
  </si>
  <si>
    <r>
      <t xml:space="preserve">CONTRAINTE MAX SOLIVE </t>
    </r>
    <r>
      <rPr>
        <b/>
        <sz val="9"/>
        <rFont val="Symbol"/>
        <family val="1"/>
        <charset val="2"/>
      </rPr>
      <t>s</t>
    </r>
    <r>
      <rPr>
        <b/>
        <sz val="9"/>
        <rFont val="Arial"/>
        <family val="2"/>
      </rPr>
      <t>m2</t>
    </r>
  </si>
  <si>
    <t>RIGIDITE EQUIVALENTE EN FLEXION EI (eff)</t>
  </si>
  <si>
    <t>Raideur Ku</t>
  </si>
  <si>
    <t>Lg horizontale d'entaille ( y schéma)</t>
  </si>
  <si>
    <t>Distance de l'angle au point d'appui ( x schéma)</t>
  </si>
  <si>
    <t>LF axe fort</t>
  </si>
  <si>
    <t>LF axe faible</t>
  </si>
  <si>
    <r>
      <t>f</t>
    </r>
    <r>
      <rPr>
        <vertAlign val="subscript"/>
        <sz val="14"/>
        <rFont val="Arial"/>
        <family val="2"/>
      </rPr>
      <t>c,0,k</t>
    </r>
  </si>
  <si>
    <r>
      <t>K</t>
    </r>
    <r>
      <rPr>
        <b/>
        <vertAlign val="subscript"/>
        <sz val="20"/>
        <color indexed="10"/>
        <rFont val="Arial"/>
        <family val="2"/>
      </rPr>
      <t>c,y</t>
    </r>
    <r>
      <rPr>
        <b/>
        <sz val="20"/>
        <color indexed="10"/>
        <rFont val="Arial"/>
        <family val="2"/>
      </rPr>
      <t xml:space="preserve"> Coef de flambement</t>
    </r>
  </si>
  <si>
    <r>
      <t>E</t>
    </r>
    <r>
      <rPr>
        <vertAlign val="subscript"/>
        <sz val="11"/>
        <rFont val="Arial"/>
        <family val="2"/>
      </rPr>
      <t>0.05</t>
    </r>
  </si>
  <si>
    <t>I min</t>
  </si>
  <si>
    <t>I max</t>
  </si>
  <si>
    <t>i max</t>
  </si>
  <si>
    <t>i min</t>
  </si>
  <si>
    <t>lambda</t>
  </si>
  <si>
    <t>lambda rel</t>
  </si>
  <si>
    <t>1 ou 2</t>
  </si>
  <si>
    <r>
      <t xml:space="preserve">   si BM, </t>
    </r>
    <r>
      <rPr>
        <b/>
        <sz val="11"/>
        <rFont val="Arial"/>
        <family val="2"/>
      </rPr>
      <t>1</t>
    </r>
    <r>
      <rPr>
        <sz val="10"/>
        <rFont val="Arial"/>
      </rPr>
      <t xml:space="preserve">  si LC, </t>
    </r>
    <r>
      <rPr>
        <b/>
        <sz val="11"/>
        <rFont val="Arial"/>
        <family val="2"/>
      </rPr>
      <t>2</t>
    </r>
  </si>
  <si>
    <r>
      <t xml:space="preserve">BM </t>
    </r>
    <r>
      <rPr>
        <sz val="10"/>
        <rFont val="Arial"/>
        <family val="2"/>
      </rPr>
      <t>ou</t>
    </r>
    <r>
      <rPr>
        <b/>
        <sz val="10"/>
        <rFont val="Arial"/>
        <family val="2"/>
      </rPr>
      <t xml:space="preserve"> LC</t>
    </r>
  </si>
  <si>
    <t>Bc</t>
  </si>
  <si>
    <t>ky</t>
  </si>
  <si>
    <t>kcy</t>
  </si>
  <si>
    <r>
      <t>k</t>
    </r>
    <r>
      <rPr>
        <b/>
        <vertAlign val="subscript"/>
        <sz val="12"/>
        <rFont val="Verdana"/>
        <family val="2"/>
      </rPr>
      <t>c,y</t>
    </r>
  </si>
  <si>
    <t xml:space="preserve">Coefficient de flambement </t>
  </si>
  <si>
    <t>RECHERCHE DES COEFFICIENTS EC5</t>
  </si>
  <si>
    <t>RETOUR AU MENU PRINCIPAL</t>
  </si>
  <si>
    <t xml:space="preserve">Pointes                                                                       BOIS / ACIER simple cisaillement  </t>
  </si>
  <si>
    <t>Tire-fonds                                                                   BOIS / BOIS (ARRACHEMENT)</t>
  </si>
  <si>
    <t>VERIFICATIONS DES ASSEMBLAGES TRADITIONNELS</t>
  </si>
  <si>
    <t>Embrèvement avant</t>
  </si>
  <si>
    <t xml:space="preserve">Boulons Broches                                             BOIS/BOIS </t>
  </si>
  <si>
    <t>a3 c10 c11</t>
  </si>
  <si>
    <t>a3 c1 c9</t>
  </si>
  <si>
    <t>Boulons Broches                                             BOIS/CP/OSB</t>
  </si>
  <si>
    <t>Boulons Broches                                             CP/CP</t>
  </si>
  <si>
    <t xml:space="preserve">Boulons Broches                                             ACIER / BOIS ou CP Simple cisaillement </t>
  </si>
  <si>
    <t xml:space="preserve">Boulons Broches                                             ACIER Plaque centrale / BOIS ou CP Double cisaillement  </t>
  </si>
  <si>
    <t xml:space="preserve">Boulons Broches                                             ACIER Plaque latérale / BOIS ou CP Double cisaillement </t>
  </si>
  <si>
    <t>Poutres à inertie variable : Simple décroissance</t>
  </si>
  <si>
    <t>Poutres à inertie variable : Double décroissance</t>
  </si>
  <si>
    <t>Fv,d</t>
  </si>
  <si>
    <r>
      <t>k</t>
    </r>
    <r>
      <rPr>
        <b/>
        <vertAlign val="subscript"/>
        <sz val="14"/>
        <rFont val="Arial"/>
        <family val="2"/>
      </rPr>
      <t>mod</t>
    </r>
  </si>
  <si>
    <r>
      <t>g</t>
    </r>
    <r>
      <rPr>
        <b/>
        <vertAlign val="subscript"/>
        <sz val="14"/>
        <rFont val="Arial"/>
        <family val="2"/>
      </rPr>
      <t>M</t>
    </r>
  </si>
  <si>
    <r>
      <t>F</t>
    </r>
    <r>
      <rPr>
        <b/>
        <vertAlign val="subscript"/>
        <sz val="14"/>
        <rFont val="Arial"/>
      </rPr>
      <t>90,Rd</t>
    </r>
  </si>
  <si>
    <r>
      <t>Largeur de la plaque métallique d'assemblage // aux fibres du bois.</t>
    </r>
    <r>
      <rPr>
        <i/>
        <u/>
        <sz val="10"/>
        <rFont val="Arial"/>
        <family val="2"/>
      </rPr>
      <t xml:space="preserve"> Si pas de plaque mettre </t>
    </r>
    <r>
      <rPr>
        <b/>
        <i/>
        <u/>
        <sz val="10"/>
        <rFont val="Arial"/>
        <family val="2"/>
      </rPr>
      <t>1</t>
    </r>
  </si>
  <si>
    <t>Effort tranchant au niveau de l'assemblage</t>
  </si>
  <si>
    <t>VERIFICATION DES SECTIONS AU FENDAGE</t>
  </si>
  <si>
    <r>
      <t>F</t>
    </r>
    <r>
      <rPr>
        <b/>
        <vertAlign val="subscript"/>
        <sz val="14"/>
        <color indexed="10"/>
        <rFont val="Arial"/>
        <family val="2"/>
      </rPr>
      <t>90,Rk</t>
    </r>
    <r>
      <rPr>
        <b/>
        <sz val="14"/>
        <color indexed="10"/>
        <rFont val="Arial"/>
        <family val="2"/>
      </rPr>
      <t xml:space="preserve"> </t>
    </r>
    <r>
      <rPr>
        <b/>
        <sz val="14"/>
        <color indexed="8"/>
        <rFont val="Arial"/>
        <family val="2"/>
      </rPr>
      <t>Valeur caractéristique de la capacité au fendage en N</t>
    </r>
  </si>
  <si>
    <t>RESISTANCE A LA FLEXION</t>
  </si>
  <si>
    <t>Résistance à la flexion</t>
  </si>
  <si>
    <t>Résistance à la compression axiale</t>
  </si>
  <si>
    <t>Résistance à la traction axiale</t>
  </si>
  <si>
    <t>Résistance au cisaillement longitudinal</t>
  </si>
  <si>
    <t>Résistance à la compression transversale</t>
  </si>
  <si>
    <t>Résistance à la traction transversale</t>
  </si>
  <si>
    <t>Résistance au fendage</t>
  </si>
  <si>
    <t>Largeur poutre (b)</t>
  </si>
  <si>
    <t>Hauteur poutre (h)</t>
  </si>
  <si>
    <t>Moment fléchissant (MF)</t>
  </si>
  <si>
    <r>
      <t>s</t>
    </r>
    <r>
      <rPr>
        <vertAlign val="subscript"/>
        <sz val="14"/>
        <rFont val="Arial"/>
        <family val="2"/>
      </rPr>
      <t>m,d</t>
    </r>
  </si>
  <si>
    <r>
      <t>f</t>
    </r>
    <r>
      <rPr>
        <vertAlign val="subscript"/>
        <sz val="12"/>
        <rFont val="Arial"/>
        <family val="2"/>
      </rPr>
      <t>m,k</t>
    </r>
  </si>
  <si>
    <r>
      <t>k</t>
    </r>
    <r>
      <rPr>
        <vertAlign val="subscript"/>
        <sz val="12"/>
        <rFont val="Arial"/>
        <family val="2"/>
      </rPr>
      <t>mod</t>
    </r>
  </si>
  <si>
    <r>
      <t>g</t>
    </r>
    <r>
      <rPr>
        <b/>
        <vertAlign val="subscript"/>
        <sz val="12"/>
        <rFont val="Arial"/>
        <family val="2"/>
      </rPr>
      <t>M</t>
    </r>
  </si>
  <si>
    <t>N.mm²</t>
  </si>
  <si>
    <t xml:space="preserve"> </t>
  </si>
  <si>
    <r>
      <t>k</t>
    </r>
    <r>
      <rPr>
        <vertAlign val="subscript"/>
        <sz val="12"/>
        <rFont val="Arial"/>
        <family val="2"/>
      </rPr>
      <t>ls</t>
    </r>
  </si>
  <si>
    <r>
      <t>f</t>
    </r>
    <r>
      <rPr>
        <vertAlign val="subscript"/>
        <sz val="14"/>
        <rFont val="Arial"/>
        <family val="2"/>
      </rPr>
      <t>m,d</t>
    </r>
  </si>
  <si>
    <t>RESISTANCE A LA COMPRESSION AXIALE</t>
  </si>
  <si>
    <r>
      <t>f</t>
    </r>
    <r>
      <rPr>
        <vertAlign val="subscript"/>
        <sz val="12"/>
        <rFont val="Arial"/>
        <family val="2"/>
      </rPr>
      <t>c,0,k</t>
    </r>
  </si>
  <si>
    <r>
      <t>f</t>
    </r>
    <r>
      <rPr>
        <vertAlign val="subscript"/>
        <sz val="14"/>
        <rFont val="Arial"/>
        <family val="2"/>
      </rPr>
      <t>c,0,d</t>
    </r>
  </si>
  <si>
    <r>
      <t>s</t>
    </r>
    <r>
      <rPr>
        <vertAlign val="subscript"/>
        <sz val="14"/>
        <rFont val="Arial"/>
        <family val="2"/>
      </rPr>
      <t>c,0,d</t>
    </r>
  </si>
  <si>
    <t>(N/mm²)</t>
  </si>
  <si>
    <t>(N)</t>
  </si>
  <si>
    <t>RESISTANCE A LA TRACTION AXIALE</t>
  </si>
  <si>
    <r>
      <t>s</t>
    </r>
    <r>
      <rPr>
        <vertAlign val="subscript"/>
        <sz val="14"/>
        <rFont val="Arial"/>
        <family val="2"/>
      </rPr>
      <t>t,0,d</t>
    </r>
  </si>
  <si>
    <r>
      <t>f</t>
    </r>
    <r>
      <rPr>
        <vertAlign val="subscript"/>
        <sz val="14"/>
        <rFont val="Arial"/>
        <family val="2"/>
      </rPr>
      <t>t,0,d</t>
    </r>
  </si>
  <si>
    <t>Effort Normal (N) traction</t>
  </si>
  <si>
    <t>kh</t>
  </si>
  <si>
    <t>RETOUR FLEXION</t>
  </si>
  <si>
    <t>kcrit</t>
  </si>
  <si>
    <t>RETOUR COMPRESSION</t>
  </si>
  <si>
    <t>RESISTANCE AU CISAILLEMENT LONGITUDINAL</t>
  </si>
  <si>
    <t>kv</t>
  </si>
  <si>
    <r>
      <t>f</t>
    </r>
    <r>
      <rPr>
        <vertAlign val="subscript"/>
        <sz val="14"/>
        <rFont val="Arial"/>
        <family val="2"/>
      </rPr>
      <t>v,d</t>
    </r>
  </si>
  <si>
    <r>
      <t>f</t>
    </r>
    <r>
      <rPr>
        <vertAlign val="subscript"/>
        <sz val="12"/>
        <rFont val="Arial"/>
        <family val="2"/>
      </rPr>
      <t>v,k</t>
    </r>
  </si>
  <si>
    <r>
      <t>t</t>
    </r>
    <r>
      <rPr>
        <vertAlign val="subscript"/>
        <sz val="14"/>
        <rFont val="Arial"/>
        <family val="2"/>
      </rPr>
      <t>v,d</t>
    </r>
  </si>
  <si>
    <t xml:space="preserve">Effort tranchant (T) </t>
  </si>
  <si>
    <t>Hauteur poutre (he)</t>
  </si>
  <si>
    <t>RETOUR CISAILLEMENT</t>
  </si>
  <si>
    <t>RESISTANCE A LA COMPRESSION TRANSVERSALE</t>
  </si>
  <si>
    <r>
      <t>s</t>
    </r>
    <r>
      <rPr>
        <vertAlign val="subscript"/>
        <sz val="14"/>
        <rFont val="Arial"/>
        <family val="2"/>
      </rPr>
      <t>c,90,d</t>
    </r>
  </si>
  <si>
    <r>
      <t>f</t>
    </r>
    <r>
      <rPr>
        <vertAlign val="subscript"/>
        <sz val="14"/>
        <rFont val="Arial"/>
        <family val="2"/>
      </rPr>
      <t>c,90,d</t>
    </r>
  </si>
  <si>
    <r>
      <t>f</t>
    </r>
    <r>
      <rPr>
        <vertAlign val="subscript"/>
        <sz val="14"/>
        <rFont val="Arial"/>
        <family val="2"/>
      </rPr>
      <t>c,90,k</t>
    </r>
  </si>
  <si>
    <t>kc,90</t>
  </si>
  <si>
    <t>RETOUR COMPRESSION TRANSVERSALE</t>
  </si>
  <si>
    <t>largeur en compression (lc)</t>
  </si>
  <si>
    <r>
      <t xml:space="preserve"> </t>
    </r>
    <r>
      <rPr>
        <b/>
        <sz val="20"/>
        <color indexed="10"/>
        <rFont val="Verdana"/>
        <family val="2"/>
      </rPr>
      <t xml:space="preserve">COACH  EC5 </t>
    </r>
    <r>
      <rPr>
        <b/>
        <sz val="14"/>
        <color indexed="10"/>
        <rFont val="Verdana"/>
        <family val="2"/>
      </rPr>
      <t>MENU PRINCIPAL</t>
    </r>
  </si>
  <si>
    <t>Longueur en compression (Lc)</t>
  </si>
  <si>
    <t>Effort à reprendre (F)</t>
  </si>
  <si>
    <t>hauteur, h (ou largeur, b)</t>
  </si>
  <si>
    <t>RETOUR TRACTION AXIALE</t>
  </si>
  <si>
    <t>RETOUR TRACTION TRANSVERSALE</t>
  </si>
  <si>
    <t>RESISTANCE A LA TRACTION TRANSVERSALE</t>
  </si>
  <si>
    <r>
      <t>s</t>
    </r>
    <r>
      <rPr>
        <vertAlign val="subscript"/>
        <sz val="14"/>
        <rFont val="Arial"/>
        <family val="2"/>
      </rPr>
      <t>t,90,d</t>
    </r>
  </si>
  <si>
    <r>
      <t>f</t>
    </r>
    <r>
      <rPr>
        <vertAlign val="subscript"/>
        <sz val="14"/>
        <rFont val="Arial"/>
        <family val="2"/>
      </rPr>
      <t>t,90,k</t>
    </r>
  </si>
  <si>
    <r>
      <t>f</t>
    </r>
    <r>
      <rPr>
        <vertAlign val="subscript"/>
        <sz val="14"/>
        <rFont val="Arial"/>
        <family val="2"/>
      </rPr>
      <t>t,90,d</t>
    </r>
  </si>
  <si>
    <t>largeur de la pièce (b)</t>
  </si>
  <si>
    <t>MF axe faible</t>
  </si>
  <si>
    <t>MF axe fort</t>
  </si>
  <si>
    <t>kh pour hauteur</t>
  </si>
  <si>
    <t>kh pour largeur</t>
  </si>
  <si>
    <t>selon h</t>
  </si>
  <si>
    <t>selon b</t>
  </si>
  <si>
    <r>
      <t>s</t>
    </r>
    <r>
      <rPr>
        <b/>
        <vertAlign val="subscript"/>
        <sz val="10"/>
        <rFont val="Arial"/>
        <family val="2"/>
      </rPr>
      <t xml:space="preserve">m,y,d </t>
    </r>
    <r>
      <rPr>
        <b/>
        <sz val="10"/>
        <rFont val="Arial"/>
        <family val="2"/>
      </rPr>
      <t>axe fort</t>
    </r>
  </si>
  <si>
    <r>
      <t>s</t>
    </r>
    <r>
      <rPr>
        <b/>
        <vertAlign val="subscript"/>
        <sz val="10"/>
        <rFont val="Arial"/>
        <family val="2"/>
      </rPr>
      <t xml:space="preserve">m,z,d </t>
    </r>
    <r>
      <rPr>
        <b/>
        <sz val="10"/>
        <rFont val="Arial"/>
        <family val="2"/>
      </rPr>
      <t>axe faible</t>
    </r>
  </si>
  <si>
    <t>RESULTAT</t>
  </si>
  <si>
    <t>kN.m</t>
  </si>
  <si>
    <t>RETOUR FLEXION OBLIQUE</t>
  </si>
  <si>
    <r>
      <t>k</t>
    </r>
    <r>
      <rPr>
        <vertAlign val="subscript"/>
        <sz val="11"/>
        <rFont val="Arial"/>
        <family val="2"/>
      </rPr>
      <t>m</t>
    </r>
  </si>
  <si>
    <r>
      <t>k</t>
    </r>
    <r>
      <rPr>
        <vertAlign val="subscript"/>
        <sz val="11"/>
        <rFont val="Arial"/>
        <family val="2"/>
      </rPr>
      <t>ls</t>
    </r>
  </si>
  <si>
    <t>0/90</t>
  </si>
  <si>
    <t>radian</t>
  </si>
  <si>
    <t xml:space="preserve">Longueur de la surface concernée </t>
  </si>
  <si>
    <t xml:space="preserve">Largeur de la surface concernée </t>
  </si>
  <si>
    <r>
      <t>s</t>
    </r>
    <r>
      <rPr>
        <vertAlign val="subscript"/>
        <sz val="14"/>
        <rFont val="Arial"/>
        <family val="2"/>
      </rPr>
      <t>c,</t>
    </r>
    <r>
      <rPr>
        <vertAlign val="subscript"/>
        <sz val="14"/>
        <rFont val="Symbol"/>
        <family val="1"/>
        <charset val="2"/>
      </rPr>
      <t>a</t>
    </r>
    <r>
      <rPr>
        <vertAlign val="subscript"/>
        <sz val="14"/>
        <rFont val="Arial"/>
        <family val="2"/>
      </rPr>
      <t>,d</t>
    </r>
  </si>
  <si>
    <r>
      <t>f</t>
    </r>
    <r>
      <rPr>
        <vertAlign val="subscript"/>
        <sz val="16"/>
        <rFont val="Arial"/>
      </rPr>
      <t>c,0,k</t>
    </r>
  </si>
  <si>
    <r>
      <t>f</t>
    </r>
    <r>
      <rPr>
        <vertAlign val="subscript"/>
        <sz val="16"/>
        <rFont val="Arial"/>
      </rPr>
      <t>c,90,k</t>
    </r>
  </si>
  <si>
    <r>
      <t>f</t>
    </r>
    <r>
      <rPr>
        <vertAlign val="subscript"/>
        <sz val="16"/>
        <rFont val="Arial"/>
      </rPr>
      <t>c,</t>
    </r>
    <r>
      <rPr>
        <vertAlign val="subscript"/>
        <sz val="16"/>
        <rFont val="Symbol"/>
        <family val="1"/>
        <charset val="2"/>
      </rPr>
      <t>a</t>
    </r>
    <r>
      <rPr>
        <vertAlign val="subscript"/>
        <sz val="16"/>
        <rFont val="Arial"/>
      </rPr>
      <t>,k</t>
    </r>
  </si>
  <si>
    <r>
      <t>f</t>
    </r>
    <r>
      <rPr>
        <vertAlign val="subscript"/>
        <sz val="14"/>
        <rFont val="Arial"/>
      </rPr>
      <t>c,</t>
    </r>
    <r>
      <rPr>
        <vertAlign val="subscript"/>
        <sz val="14"/>
        <rFont val="Symbol"/>
        <family val="1"/>
        <charset val="2"/>
      </rPr>
      <t>a</t>
    </r>
    <r>
      <rPr>
        <vertAlign val="subscript"/>
        <sz val="14"/>
        <rFont val="Arial"/>
      </rPr>
      <t>,k</t>
    </r>
  </si>
  <si>
    <r>
      <t>f</t>
    </r>
    <r>
      <rPr>
        <vertAlign val="subscript"/>
        <sz val="14"/>
        <rFont val="Arial"/>
        <family val="2"/>
      </rPr>
      <t>c,</t>
    </r>
    <r>
      <rPr>
        <vertAlign val="subscript"/>
        <sz val="14"/>
        <rFont val="Symbol"/>
        <family val="1"/>
        <charset val="2"/>
      </rPr>
      <t>a</t>
    </r>
    <r>
      <rPr>
        <vertAlign val="subscript"/>
        <sz val="14"/>
        <rFont val="Arial"/>
        <family val="2"/>
      </rPr>
      <t>,d</t>
    </r>
  </si>
  <si>
    <t>Résistance à la compression selon un angle a compris entre 0° et 90°</t>
  </si>
  <si>
    <r>
      <t>MENU</t>
    </r>
    <r>
      <rPr>
        <sz val="14"/>
        <color indexed="10"/>
        <rFont val="Verdana"/>
        <family val="2"/>
      </rPr>
      <t xml:space="preserve"> RECHERCHE DES COEFFICIENTS EC5</t>
    </r>
  </si>
  <si>
    <r>
      <t>MENU</t>
    </r>
    <r>
      <rPr>
        <sz val="14"/>
        <color indexed="8"/>
        <rFont val="Verdana"/>
        <family val="2"/>
      </rPr>
      <t xml:space="preserve"> VERIFICATIONS DES SECTIONS</t>
    </r>
  </si>
  <si>
    <r>
      <t>MENU</t>
    </r>
    <r>
      <rPr>
        <sz val="14"/>
        <color indexed="8"/>
        <rFont val="Verdana"/>
        <family val="2"/>
      </rPr>
      <t xml:space="preserve"> ASSEMBLAGES CALCULS AUTOMATIQUES EC5</t>
    </r>
  </si>
  <si>
    <t>FLEXION + COMPRESSION</t>
  </si>
  <si>
    <r>
      <t>k</t>
    </r>
    <r>
      <rPr>
        <vertAlign val="subscript"/>
        <sz val="11"/>
        <rFont val="Arial"/>
        <family val="2"/>
      </rPr>
      <t>M</t>
    </r>
  </si>
  <si>
    <t>Effort normal de compression</t>
  </si>
  <si>
    <r>
      <t>k</t>
    </r>
    <r>
      <rPr>
        <vertAlign val="subscript"/>
        <sz val="10"/>
        <rFont val="Arial"/>
        <family val="2"/>
      </rPr>
      <t>ls</t>
    </r>
  </si>
  <si>
    <r>
      <t>fc</t>
    </r>
    <r>
      <rPr>
        <b/>
        <vertAlign val="subscript"/>
        <sz val="11"/>
        <rFont val="Arial"/>
        <family val="2"/>
      </rPr>
      <t>,0,d</t>
    </r>
  </si>
  <si>
    <t>RETOUR COMPRESSION + FLEXION</t>
  </si>
  <si>
    <t>kN</t>
  </si>
  <si>
    <t>Effort appliqué sur la section (kN)</t>
  </si>
  <si>
    <t>Effort Normal (kN)</t>
  </si>
  <si>
    <r>
      <t>f</t>
    </r>
    <r>
      <rPr>
        <vertAlign val="subscript"/>
        <sz val="12"/>
        <rFont val="Arial"/>
        <family val="2"/>
      </rPr>
      <t>t,0,k</t>
    </r>
  </si>
  <si>
    <r>
      <t>s</t>
    </r>
    <r>
      <rPr>
        <vertAlign val="subscript"/>
        <sz val="14"/>
        <rFont val="Arial"/>
        <family val="2"/>
      </rPr>
      <t xml:space="preserve">m,0,d ou </t>
    </r>
    <r>
      <rPr>
        <b/>
        <sz val="14"/>
        <rFont val="Symbol"/>
        <family val="1"/>
        <charset val="2"/>
      </rPr>
      <t>s</t>
    </r>
    <r>
      <rPr>
        <vertAlign val="subscript"/>
        <sz val="14"/>
        <rFont val="Arial"/>
        <family val="2"/>
      </rPr>
      <t>m,</t>
    </r>
    <r>
      <rPr>
        <vertAlign val="subscript"/>
        <sz val="14"/>
        <rFont val="Symbol"/>
        <family val="1"/>
        <charset val="2"/>
      </rPr>
      <t>a</t>
    </r>
    <r>
      <rPr>
        <vertAlign val="subscript"/>
        <sz val="14"/>
        <rFont val="Arial"/>
        <family val="2"/>
      </rPr>
      <t>,d</t>
    </r>
  </si>
  <si>
    <r>
      <t>s</t>
    </r>
    <r>
      <rPr>
        <vertAlign val="subscript"/>
        <sz val="14"/>
        <rFont val="Arial"/>
        <family val="2"/>
      </rPr>
      <t>m,(0,</t>
    </r>
    <r>
      <rPr>
        <vertAlign val="subscript"/>
        <sz val="14"/>
        <rFont val="Symbol"/>
        <family val="1"/>
        <charset val="2"/>
      </rPr>
      <t>a</t>
    </r>
    <r>
      <rPr>
        <vertAlign val="subscript"/>
        <sz val="14"/>
        <rFont val="Arial"/>
        <family val="2"/>
      </rPr>
      <t>)d</t>
    </r>
  </si>
  <si>
    <t>RESISTANCE A LA FLEXION POUTRE IV SIMPLE DECROISSANCE</t>
  </si>
  <si>
    <r>
      <t>km,</t>
    </r>
    <r>
      <rPr>
        <sz val="11"/>
        <color indexed="12"/>
        <rFont val="Symbol"/>
        <family val="1"/>
        <charset val="2"/>
      </rPr>
      <t>a</t>
    </r>
  </si>
  <si>
    <t>RETOUR POUTRES IV 1 PENTE</t>
  </si>
  <si>
    <t>RETOUR POUTRES IV 2 PENTES</t>
  </si>
  <si>
    <t>RETOUR POUTRES IV 1 PENTES</t>
  </si>
  <si>
    <t>RESISTANCE A LA FLEXION OBLIQUE (ou DEVIEE)</t>
  </si>
  <si>
    <t>Positionnement des boulons, broches + nb efficace</t>
  </si>
  <si>
    <t>diamétre</t>
  </si>
  <si>
    <t>nb file</t>
  </si>
  <si>
    <t>nb pointes/files</t>
  </si>
  <si>
    <t>AVANT TROU</t>
  </si>
  <si>
    <t>RECHERCHE NB EFFICACE DE POINTES</t>
  </si>
  <si>
    <t>nb files</t>
  </si>
  <si>
    <t>nb pointes par files</t>
  </si>
  <si>
    <t>Avant trou</t>
  </si>
  <si>
    <t xml:space="preserve">nb total pointes </t>
  </si>
  <si>
    <t>nb EFFICACE</t>
  </si>
  <si>
    <t>de pointes</t>
  </si>
  <si>
    <t>diamétre pointes</t>
  </si>
  <si>
    <t>Positionnement des pointes + nb efficace</t>
  </si>
  <si>
    <t xml:space="preserve">arrachement (l recommandée) ≥ 12d ptes lisses, 8d autres ptes </t>
  </si>
  <si>
    <t>l pénétration bois pts torsadées ≥ 6ø (mini)</t>
  </si>
  <si>
    <t>l pénétration bois pts lisses ≥ 8ø (mini)</t>
  </si>
  <si>
    <r>
      <t>k</t>
    </r>
    <r>
      <rPr>
        <vertAlign val="subscript"/>
        <sz val="12"/>
        <rFont val="Arial"/>
        <family val="2"/>
      </rPr>
      <t xml:space="preserve">ls </t>
    </r>
    <r>
      <rPr>
        <sz val="9"/>
        <rFont val="Arial"/>
        <family val="2"/>
      </rPr>
      <t>(effet système)</t>
    </r>
  </si>
  <si>
    <r>
      <t xml:space="preserve">kh </t>
    </r>
    <r>
      <rPr>
        <sz val="9"/>
        <color indexed="12"/>
        <rFont val="Arial"/>
        <family val="2"/>
      </rPr>
      <t>(coef de hauteur)</t>
    </r>
  </si>
  <si>
    <r>
      <t>kcrit</t>
    </r>
    <r>
      <rPr>
        <sz val="8"/>
        <color indexed="12"/>
        <rFont val="Arial"/>
        <family val="2"/>
      </rPr>
      <t xml:space="preserve"> (déversement latéral)</t>
    </r>
  </si>
  <si>
    <t>B</t>
  </si>
  <si>
    <t>Résineux</t>
  </si>
  <si>
    <t>Feuillus</t>
  </si>
  <si>
    <t>Essence : Résineux ou feuillus</t>
  </si>
  <si>
    <r>
      <t xml:space="preserve">C18 </t>
    </r>
    <r>
      <rPr>
        <sz val="8"/>
        <rFont val="Arial"/>
        <family val="2"/>
      </rPr>
      <t>(320 kg/m</t>
    </r>
    <r>
      <rPr>
        <vertAlign val="superscript"/>
        <sz val="8"/>
        <rFont val="Arial"/>
        <family val="2"/>
      </rPr>
      <t>3</t>
    </r>
    <r>
      <rPr>
        <sz val="8"/>
        <rFont val="Arial"/>
        <family val="2"/>
      </rPr>
      <t>)</t>
    </r>
  </si>
  <si>
    <t>C22 (340 kg/m3)</t>
  </si>
  <si>
    <t>C30 (380 kg/m3)</t>
  </si>
  <si>
    <t>GL24 (380 kg/m3)</t>
  </si>
  <si>
    <t>GL28 (410 kg/m3)</t>
  </si>
  <si>
    <t>D30 (530 kg/m3)</t>
  </si>
  <si>
    <t>D35 (560 kg/m3)</t>
  </si>
  <si>
    <t>Pin maritime (430 kg/m3)</t>
  </si>
  <si>
    <t>Pin sylvestre (450 kg/m3)</t>
  </si>
  <si>
    <t>Sapin (370 kg/m3)</t>
  </si>
  <si>
    <t>Epicéa (370 kg/m3)</t>
  </si>
  <si>
    <t>Douglas (460 kg/m3)</t>
  </si>
  <si>
    <t>Chêne (570 kg/m3)</t>
  </si>
  <si>
    <t>Effort normal de traction</t>
  </si>
  <si>
    <t>I cylindre</t>
  </si>
  <si>
    <t>Pièce rectangulaire ou carrée</t>
  </si>
  <si>
    <t>Pièce cylindrique</t>
  </si>
  <si>
    <t>LF</t>
  </si>
  <si>
    <t xml:space="preserve">Poteau rectangulaire ou carré </t>
  </si>
  <si>
    <t>Poteau Cylindrique</t>
  </si>
  <si>
    <t>Pour le moment voir COACH FUTE</t>
  </si>
  <si>
    <r>
      <t xml:space="preserve">Elancement </t>
    </r>
    <r>
      <rPr>
        <b/>
        <sz val="10"/>
        <rFont val="Symbol"/>
        <family val="1"/>
        <charset val="2"/>
      </rPr>
      <t>l</t>
    </r>
    <r>
      <rPr>
        <b/>
        <sz val="10"/>
        <rFont val="Arial"/>
      </rPr>
      <t xml:space="preserve"> = Lf / i = </t>
    </r>
  </si>
  <si>
    <t>Attention</t>
  </si>
  <si>
    <t>PIECE 1</t>
  </si>
  <si>
    <t>PIECE 2</t>
  </si>
  <si>
    <r>
      <t xml:space="preserve">Angle </t>
    </r>
    <r>
      <rPr>
        <b/>
        <sz val="11"/>
        <rFont val="Symbol"/>
        <family val="1"/>
        <charset val="2"/>
      </rPr>
      <t xml:space="preserve">a </t>
    </r>
    <r>
      <rPr>
        <sz val="9"/>
        <rFont val="Symbol"/>
        <family val="1"/>
        <charset val="2"/>
      </rPr>
      <t xml:space="preserve">(/ </t>
    </r>
    <r>
      <rPr>
        <sz val="9"/>
        <rFont val="Arial"/>
        <family val="2"/>
      </rPr>
      <t>fil du bois)</t>
    </r>
  </si>
  <si>
    <t>BOULONS</t>
  </si>
  <si>
    <t>BROCHES</t>
  </si>
  <si>
    <t>Choisir le type de tige</t>
  </si>
  <si>
    <t>Choisir le ø de la tige</t>
  </si>
  <si>
    <t>au fil du bois</t>
  </si>
  <si>
    <r>
      <t xml:space="preserve">Indiquer l'angle </t>
    </r>
    <r>
      <rPr>
        <b/>
        <sz val="10"/>
        <rFont val="Symbol"/>
        <family val="1"/>
        <charset val="2"/>
      </rPr>
      <t>a</t>
    </r>
    <r>
      <rPr>
        <sz val="10"/>
        <rFont val="Arial"/>
      </rPr>
      <t xml:space="preserve"> par rapport</t>
    </r>
  </si>
  <si>
    <t>POSITIONNEMENT</t>
  </si>
  <si>
    <t>nb files à 5 boulons</t>
  </si>
  <si>
    <t>nb files à 4 boulons</t>
  </si>
  <si>
    <t>nb files à 3 boulons</t>
  </si>
  <si>
    <t>nb files à 2 boulons</t>
  </si>
  <si>
    <t>nb de boulons isolés</t>
  </si>
  <si>
    <t>Total</t>
  </si>
  <si>
    <t>Compléter ci-dessous, une file c'est un alignementde boulons // fil du bois</t>
  </si>
  <si>
    <t>Nombre efficace de boulons</t>
  </si>
  <si>
    <t xml:space="preserve"> nef</t>
  </si>
  <si>
    <t>ø boulons/broches de l'assemblage</t>
  </si>
  <si>
    <r>
      <t xml:space="preserve">(*) On calculera à l'aide des feuilles excel la contribution du boulon par </t>
    </r>
    <r>
      <rPr>
        <b/>
        <i/>
        <u/>
        <sz val="11"/>
        <color indexed="10"/>
        <rFont val="Verdana"/>
        <family val="2"/>
      </rPr>
      <t>plan de cisaillement</t>
    </r>
  </si>
  <si>
    <t>RUPTURE DE BLOC - ASSEMBLAGES BOIS METAL</t>
  </si>
  <si>
    <t>Rupture de bloc</t>
  </si>
  <si>
    <t>sans avant-trous (bois fissiles)</t>
  </si>
  <si>
    <t>13d-30 x rho/200</t>
  </si>
  <si>
    <t>ks</t>
  </si>
  <si>
    <t>facteur</t>
  </si>
  <si>
    <t>Nombre effectif d'anneaux par ligne</t>
  </si>
  <si>
    <t>Pénétration des dents, hauteur du crampon</t>
  </si>
  <si>
    <r>
      <t xml:space="preserve">Ep bois </t>
    </r>
    <r>
      <rPr>
        <b/>
        <sz val="10"/>
        <rFont val="Arial"/>
        <family val="2"/>
      </rPr>
      <t>t2</t>
    </r>
    <r>
      <rPr>
        <sz val="10"/>
        <rFont val="Arial"/>
      </rPr>
      <t xml:space="preserve"> (+ forte ep ou pièce centrale) attention valeur mini</t>
    </r>
  </si>
  <si>
    <r>
      <t>ks</t>
    </r>
    <r>
      <rPr>
        <vertAlign val="subscript"/>
        <sz val="10"/>
        <rFont val="Arial"/>
        <family val="2"/>
      </rPr>
      <t xml:space="preserve">,red </t>
    </r>
    <r>
      <rPr>
        <sz val="10"/>
        <rFont val="Arial"/>
        <family val="2"/>
      </rPr>
      <t>(réduction de la résistance si réduction de a1)</t>
    </r>
  </si>
  <si>
    <r>
      <t>ks</t>
    </r>
    <r>
      <rPr>
        <b/>
        <vertAlign val="subscript"/>
        <sz val="11"/>
        <rFont val="Arial"/>
        <family val="2"/>
      </rPr>
      <t>,red</t>
    </r>
  </si>
  <si>
    <t>Attention, si ks,red, réduire a1</t>
  </si>
  <si>
    <t>Arrachement Rd sur un tire-fonds</t>
  </si>
  <si>
    <t>Quinconce</t>
  </si>
  <si>
    <t>a1 réduit</t>
  </si>
  <si>
    <t>a2 réduit</t>
  </si>
  <si>
    <t>a1 mini</t>
  </si>
  <si>
    <t>a2 mini</t>
  </si>
  <si>
    <t>ø ANNEAU</t>
  </si>
  <si>
    <t>ø CRAMPON</t>
  </si>
  <si>
    <t xml:space="preserve">Pour les bois fissiles, on prendra également a4 &gt; 14ø </t>
  </si>
  <si>
    <t>Nb efficace de tirefonds dans l'assemblage</t>
  </si>
  <si>
    <r>
      <t xml:space="preserve">GAMMES COMMERCIALES </t>
    </r>
    <r>
      <rPr>
        <b/>
        <sz val="8"/>
        <color indexed="10"/>
        <rFont val="Arial"/>
        <family val="2"/>
      </rPr>
      <t>(BOULONS - POINTES - VIS - CRAMPONS - ANNEAUX - CHEVILLES - TENDEURS )</t>
    </r>
  </si>
  <si>
    <t>POINTES</t>
  </si>
  <si>
    <r>
      <t xml:space="preserve">GAMMES COMMERCIALES </t>
    </r>
    <r>
      <rPr>
        <u/>
        <sz val="9"/>
        <color indexed="12"/>
        <rFont val="Verdana"/>
        <family val="2"/>
      </rPr>
      <t>(BOULONS - POINTES - VIS - CRAMPONS - ANNEAUX - CHEVILLES - TENDEURS )</t>
    </r>
  </si>
  <si>
    <t>MENU</t>
  </si>
  <si>
    <t>VIS</t>
  </si>
  <si>
    <t>TYPE</t>
  </si>
  <si>
    <t>DIMENSIONS</t>
  </si>
  <si>
    <t>ø BOULON</t>
  </si>
  <si>
    <t>EP MIN BOIS</t>
  </si>
  <si>
    <t>C1-C2</t>
  </si>
  <si>
    <r>
      <t>ø</t>
    </r>
    <r>
      <rPr>
        <sz val="10"/>
        <rFont val="Arial"/>
        <family val="2"/>
      </rPr>
      <t xml:space="preserve"> 48</t>
    </r>
  </si>
  <si>
    <r>
      <t>ø</t>
    </r>
    <r>
      <rPr>
        <sz val="10"/>
        <rFont val="Arial"/>
        <family val="2"/>
      </rPr>
      <t xml:space="preserve"> 62</t>
    </r>
  </si>
  <si>
    <r>
      <t>ø</t>
    </r>
    <r>
      <rPr>
        <sz val="10"/>
        <rFont val="Arial"/>
        <family val="2"/>
      </rPr>
      <t xml:space="preserve"> 75</t>
    </r>
  </si>
  <si>
    <r>
      <t>ø</t>
    </r>
    <r>
      <rPr>
        <sz val="10"/>
        <rFont val="Arial"/>
        <family val="2"/>
      </rPr>
      <t xml:space="preserve"> 95</t>
    </r>
  </si>
  <si>
    <r>
      <t>ø</t>
    </r>
    <r>
      <rPr>
        <sz val="10"/>
        <rFont val="Arial"/>
        <family val="2"/>
      </rPr>
      <t xml:space="preserve"> 117</t>
    </r>
  </si>
  <si>
    <t>C5</t>
  </si>
  <si>
    <t>100x100</t>
  </si>
  <si>
    <t>130x130</t>
  </si>
  <si>
    <t>C3-C4</t>
  </si>
  <si>
    <t>70x100</t>
  </si>
  <si>
    <t>Hauteur dents</t>
  </si>
  <si>
    <t>6 mm</t>
  </si>
  <si>
    <t>8 mm</t>
  </si>
  <si>
    <t>9 mm</t>
  </si>
  <si>
    <t>11 mm</t>
  </si>
  <si>
    <t>14 mm</t>
  </si>
  <si>
    <t>7 mm</t>
  </si>
  <si>
    <t>BULLDOG</t>
  </si>
  <si>
    <t>Type</t>
  </si>
  <si>
    <t>ø</t>
  </si>
  <si>
    <t>hauteur</t>
  </si>
  <si>
    <t>Prix</t>
  </si>
  <si>
    <t>TYPE A</t>
  </si>
  <si>
    <t>A</t>
  </si>
  <si>
    <t>C</t>
  </si>
  <si>
    <t>TYPE B</t>
  </si>
  <si>
    <t>IM</t>
  </si>
  <si>
    <t>IIM</t>
  </si>
  <si>
    <t>IIIM</t>
  </si>
  <si>
    <t>IVM</t>
  </si>
  <si>
    <t>VM</t>
  </si>
  <si>
    <t>VIM</t>
  </si>
  <si>
    <t>VIIM</t>
  </si>
  <si>
    <t>CRAMPONS et ANNEAUX</t>
  </si>
  <si>
    <t>ANNEAUX UR</t>
  </si>
  <si>
    <t>fm,d</t>
  </si>
  <si>
    <t>fv,d</t>
  </si>
  <si>
    <t>ft,90,d</t>
  </si>
  <si>
    <t>fc,90,d</t>
  </si>
  <si>
    <t>résistance de calcul en flexion</t>
  </si>
  <si>
    <t>résistance de calcul au cisaillement</t>
  </si>
  <si>
    <t>résistance de calcul traction transversale</t>
  </si>
  <si>
    <t>résistance de calcul en compression transversale</t>
  </si>
  <si>
    <t xml:space="preserve">   </t>
  </si>
  <si>
    <r>
      <t>f</t>
    </r>
    <r>
      <rPr>
        <b/>
        <vertAlign val="subscript"/>
        <sz val="11"/>
        <rFont val="Arial"/>
        <family val="2"/>
      </rPr>
      <t>m,y,d x coef spécifiques</t>
    </r>
  </si>
  <si>
    <r>
      <t>f</t>
    </r>
    <r>
      <rPr>
        <b/>
        <vertAlign val="subscript"/>
        <sz val="11"/>
        <rFont val="Arial"/>
        <family val="2"/>
      </rPr>
      <t>m,z,d x coef spécifiques</t>
    </r>
  </si>
  <si>
    <r>
      <t>fc</t>
    </r>
    <r>
      <rPr>
        <b/>
        <vertAlign val="subscript"/>
        <sz val="11"/>
        <rFont val="Arial"/>
        <family val="2"/>
      </rPr>
      <t>,0,d x coef spécifiques</t>
    </r>
  </si>
  <si>
    <r>
      <t>f</t>
    </r>
    <r>
      <rPr>
        <vertAlign val="subscript"/>
        <sz val="11"/>
        <rFont val="Arial"/>
        <family val="2"/>
      </rPr>
      <t>t</t>
    </r>
    <r>
      <rPr>
        <b/>
        <vertAlign val="subscript"/>
        <sz val="11"/>
        <rFont val="Arial"/>
        <family val="2"/>
      </rPr>
      <t>,0,d x coef spécifiques</t>
    </r>
  </si>
  <si>
    <r>
      <t>f</t>
    </r>
    <r>
      <rPr>
        <vertAlign val="subscript"/>
        <sz val="14"/>
        <rFont val="Arial"/>
        <family val="2"/>
      </rPr>
      <t>m,y,d x coef spécifiques</t>
    </r>
  </si>
  <si>
    <r>
      <t>f</t>
    </r>
    <r>
      <rPr>
        <vertAlign val="subscript"/>
        <sz val="14"/>
        <rFont val="Arial"/>
        <family val="2"/>
      </rPr>
      <t>m,z,d x coef spécifiques</t>
    </r>
  </si>
  <si>
    <r>
      <t>s</t>
    </r>
    <r>
      <rPr>
        <b/>
        <vertAlign val="subscript"/>
        <sz val="10"/>
        <rFont val="Arial"/>
        <family val="2"/>
      </rPr>
      <t xml:space="preserve">m,z,d </t>
    </r>
    <r>
      <rPr>
        <b/>
        <sz val="10"/>
        <rFont val="Arial"/>
        <family val="2"/>
      </rPr>
      <t>axe fort</t>
    </r>
  </si>
  <si>
    <r>
      <t>f</t>
    </r>
    <r>
      <rPr>
        <b/>
        <vertAlign val="subscript"/>
        <sz val="11"/>
        <rFont val="Arial"/>
        <family val="2"/>
      </rPr>
      <t xml:space="preserve">m,z,d </t>
    </r>
  </si>
  <si>
    <r>
      <t>Sollicitations composées</t>
    </r>
    <r>
      <rPr>
        <sz val="11"/>
        <color indexed="20"/>
        <rFont val="Verdana"/>
        <family val="2"/>
      </rPr>
      <t xml:space="preserve"> : flexion oblique </t>
    </r>
    <r>
      <rPr>
        <sz val="9"/>
        <color indexed="20"/>
        <rFont val="Verdana"/>
        <family val="2"/>
      </rPr>
      <t>(</t>
    </r>
    <r>
      <rPr>
        <b/>
        <sz val="9"/>
        <color indexed="20"/>
        <rFont val="Verdana"/>
        <family val="2"/>
      </rPr>
      <t>PANNE DEVERSEE</t>
    </r>
    <r>
      <rPr>
        <sz val="9"/>
        <color indexed="20"/>
        <rFont val="Verdana"/>
        <family val="2"/>
      </rPr>
      <t>)</t>
    </r>
  </si>
  <si>
    <r>
      <t>Sollicitations composées</t>
    </r>
    <r>
      <rPr>
        <sz val="11"/>
        <color indexed="12"/>
        <rFont val="Verdana"/>
        <family val="2"/>
      </rPr>
      <t xml:space="preserve"> : flexion + compression (</t>
    </r>
    <r>
      <rPr>
        <b/>
        <sz val="9"/>
        <color indexed="12"/>
        <rFont val="Verdana"/>
        <family val="2"/>
      </rPr>
      <t>PANNE, ARBA, ARETIER FLECHIS ET COMPRIMES</t>
    </r>
    <r>
      <rPr>
        <sz val="11"/>
        <color indexed="12"/>
        <rFont val="Verdana"/>
        <family val="2"/>
      </rPr>
      <t>)</t>
    </r>
  </si>
  <si>
    <r>
      <t>Sollicitations composées</t>
    </r>
    <r>
      <rPr>
        <sz val="11"/>
        <color indexed="20"/>
        <rFont val="Verdana"/>
        <family val="2"/>
      </rPr>
      <t xml:space="preserve"> : flexion (MFy, MFz) + traction </t>
    </r>
    <r>
      <rPr>
        <b/>
        <sz val="9"/>
        <color indexed="20"/>
        <rFont val="Verdana"/>
        <family val="2"/>
      </rPr>
      <t>(BARRE, ENTRAIT TENDUS FLECHIS)</t>
    </r>
  </si>
  <si>
    <t>CP (500 kg/m3)</t>
  </si>
  <si>
    <t xml:space="preserve">C18 </t>
  </si>
  <si>
    <t xml:space="preserve">C22 </t>
  </si>
  <si>
    <t xml:space="preserve">C30 </t>
  </si>
  <si>
    <t xml:space="preserve">GL24 </t>
  </si>
  <si>
    <t xml:space="preserve">GL28 </t>
  </si>
  <si>
    <t xml:space="preserve">D30 </t>
  </si>
  <si>
    <t xml:space="preserve">D35 </t>
  </si>
  <si>
    <t xml:space="preserve">Pin maritime </t>
  </si>
  <si>
    <t xml:space="preserve">Pin sylvestre </t>
  </si>
  <si>
    <t xml:space="preserve">Sapin </t>
  </si>
  <si>
    <t xml:space="preserve">Epicéa </t>
  </si>
  <si>
    <t xml:space="preserve">Douglas </t>
  </si>
  <si>
    <t xml:space="preserve">Chêne </t>
  </si>
  <si>
    <t xml:space="preserve">CP </t>
  </si>
  <si>
    <t>kg/m3</t>
  </si>
  <si>
    <t>RECHERCHE DES COMBINAISONS A VERIFIER</t>
  </si>
  <si>
    <t>NEIGE - VENT</t>
  </si>
  <si>
    <t>Neige EC1 1.3 (à utiliser BTS SCBH)</t>
  </si>
  <si>
    <t>Vent V65 x 1,2 (aide au calcul)</t>
  </si>
  <si>
    <t>(*) Attention les charges d'entretien ne sont pas des charges d'exploitation</t>
  </si>
  <si>
    <t>COMBINAISONS EC5 BARRES ISOLEES</t>
  </si>
  <si>
    <t>A Habitations, résidentiels</t>
  </si>
  <si>
    <t xml:space="preserve">Classe service 1 </t>
  </si>
  <si>
    <t>*****</t>
  </si>
  <si>
    <t>G</t>
  </si>
  <si>
    <t>kN/m²</t>
  </si>
  <si>
    <t>B Bureaux</t>
  </si>
  <si>
    <t>1.35G</t>
  </si>
  <si>
    <t>Classe service 2</t>
  </si>
  <si>
    <t>W+</t>
  </si>
  <si>
    <t>CATEGORIE BATIMENT</t>
  </si>
  <si>
    <t>S</t>
  </si>
  <si>
    <t>C Lieux de réunion</t>
  </si>
  <si>
    <t xml:space="preserve">Classe service 3 </t>
  </si>
  <si>
    <t>W-</t>
  </si>
  <si>
    <t>CLASSE DE SERVICE</t>
  </si>
  <si>
    <t>Sa</t>
  </si>
  <si>
    <t>D Commerce</t>
  </si>
  <si>
    <t>1.35G+1.5S</t>
  </si>
  <si>
    <t>ALTITUDE</t>
  </si>
  <si>
    <t>W</t>
  </si>
  <si>
    <t>E Stockage</t>
  </si>
  <si>
    <t>1G+1Sa</t>
  </si>
  <si>
    <t>G Circulation véhicules &lt; 30kN</t>
  </si>
  <si>
    <t>F Circulation véhicules &gt; à 30kN et &gt; à 160kN</t>
  </si>
  <si>
    <r>
      <t>Barre isolée</t>
    </r>
    <r>
      <rPr>
        <b/>
        <sz val="12"/>
        <rFont val="Verdana"/>
        <family val="2"/>
      </rPr>
      <t xml:space="preserve">     G et Q</t>
    </r>
  </si>
  <si>
    <t>►</t>
  </si>
  <si>
    <t>A vérifier en priorité</t>
  </si>
  <si>
    <t>H Toîts</t>
  </si>
  <si>
    <t>ELU</t>
  </si>
  <si>
    <t>STR</t>
  </si>
  <si>
    <t>+</t>
  </si>
  <si>
    <t>Q</t>
  </si>
  <si>
    <t>ELS</t>
  </si>
  <si>
    <t>INST</t>
  </si>
  <si>
    <t>DIF</t>
  </si>
  <si>
    <t>(*0)</t>
  </si>
  <si>
    <t>FIN</t>
  </si>
  <si>
    <r>
      <t>Barre isolée</t>
    </r>
    <r>
      <rPr>
        <b/>
        <sz val="12"/>
        <rFont val="Verdana"/>
        <family val="2"/>
      </rPr>
      <t xml:space="preserve">     G et S</t>
    </r>
  </si>
  <si>
    <t>Si</t>
  </si>
  <si>
    <t>(*2)</t>
  </si>
  <si>
    <r>
      <t xml:space="preserve"> Barre isolée</t>
    </r>
    <r>
      <rPr>
        <b/>
        <sz val="12"/>
        <rFont val="Verdana"/>
        <family val="2"/>
      </rPr>
      <t xml:space="preserve">    G et W</t>
    </r>
  </si>
  <si>
    <r>
      <t xml:space="preserve"> Barre isolée</t>
    </r>
    <r>
      <rPr>
        <b/>
        <sz val="12"/>
        <rFont val="Verdana"/>
        <family val="2"/>
      </rPr>
      <t xml:space="preserve">    G, S et W</t>
    </r>
  </si>
  <si>
    <t>S*</t>
  </si>
  <si>
    <t>(*0) et (*2)</t>
  </si>
  <si>
    <t xml:space="preserve">(*1) </t>
  </si>
  <si>
    <t>Si S1&lt;0.45G (classe risque 1 et 2, neige court terme) alors 1.35G + défavorable que 1.35G+1.5S</t>
  </si>
  <si>
    <t>Si S1&lt;0.36G (classe risque 3, neige court terme) alors 1.35G + défavorable que 1.35G+1.5S</t>
  </si>
  <si>
    <t xml:space="preserve">Si S1&lt;0.30G (classe risque 1 et 2, neige moyen terme) alors 1.35G + défavorable que 1.35G+1.5S </t>
  </si>
  <si>
    <t>Si S1&lt;0.27G (classe risque 3, neige moyen terme) alors 1.35G + défavorable que 1.35G+1.5S</t>
  </si>
  <si>
    <t>(*3)</t>
  </si>
  <si>
    <t>(*5) ELS fin à vérifier</t>
  </si>
  <si>
    <t>W+, agit dans le sens de G, W- agit dans le sens contraire de G</t>
  </si>
  <si>
    <t xml:space="preserve">Combinaison à vérifier </t>
  </si>
  <si>
    <t>COMBINAISONS EC5 STRUCTURES SYMETRIQUES</t>
  </si>
  <si>
    <t>NOM DU PROJET PROJET :</t>
  </si>
  <si>
    <t>Cocher les combinaisons étudiées</t>
  </si>
  <si>
    <r>
      <t>(STRUCTURE BAT SYM)</t>
    </r>
    <r>
      <rPr>
        <b/>
        <sz val="12"/>
        <rFont val="Verdana"/>
        <family val="2"/>
      </rPr>
      <t xml:space="preserve">   G, S et W</t>
    </r>
  </si>
  <si>
    <t>CLASSE 1</t>
  </si>
  <si>
    <t>CLASSE 2</t>
  </si>
  <si>
    <t>WGD</t>
  </si>
  <si>
    <t>CLASSE 3</t>
  </si>
  <si>
    <t>WGP</t>
  </si>
  <si>
    <t>(*4)</t>
  </si>
  <si>
    <t>WPP</t>
  </si>
  <si>
    <t>(*6)</t>
  </si>
  <si>
    <t>WPD</t>
  </si>
  <si>
    <t xml:space="preserve">(*3) </t>
  </si>
  <si>
    <t xml:space="preserve">(*2) </t>
  </si>
  <si>
    <t xml:space="preserve"> (5*)</t>
  </si>
  <si>
    <t>FLEXION (NORMALE OU OBLIQUE) + TRACTION</t>
  </si>
  <si>
    <r>
      <t>(*1) kdef pour G et Kdef x</t>
    </r>
    <r>
      <rPr>
        <i/>
        <sz val="9"/>
        <rFont val="Symbol"/>
        <family val="1"/>
        <charset val="2"/>
      </rPr>
      <t xml:space="preserve"> Y</t>
    </r>
    <r>
      <rPr>
        <i/>
        <sz val="9"/>
        <rFont val="Arial"/>
        <family val="2"/>
      </rPr>
      <t>2 pour Q et S</t>
    </r>
  </si>
  <si>
    <r>
      <t xml:space="preserve">(*2) </t>
    </r>
    <r>
      <rPr>
        <i/>
        <sz val="9"/>
        <rFont val="Symbol"/>
        <family val="1"/>
        <charset val="2"/>
      </rPr>
      <t>Y</t>
    </r>
    <r>
      <rPr>
        <i/>
        <sz val="9"/>
        <rFont val="Arial"/>
        <family val="2"/>
      </rPr>
      <t>2 = 0,0 si altitude ≤ 1000 m et  0,2 si altitude &gt; 1000 m</t>
    </r>
  </si>
  <si>
    <r>
      <t xml:space="preserve">(*3) 0,9 = 1,5 x </t>
    </r>
    <r>
      <rPr>
        <i/>
        <sz val="10"/>
        <rFont val="Symbol"/>
        <family val="1"/>
        <charset val="2"/>
      </rPr>
      <t>Y</t>
    </r>
    <r>
      <rPr>
        <i/>
        <sz val="10"/>
        <rFont val="Arial"/>
        <family val="2"/>
      </rPr>
      <t>0</t>
    </r>
    <r>
      <rPr>
        <i/>
        <sz val="10"/>
        <rFont val="Symbol"/>
        <family val="1"/>
        <charset val="2"/>
      </rPr>
      <t xml:space="preserve"> (Y</t>
    </r>
    <r>
      <rPr>
        <i/>
        <sz val="10"/>
        <rFont val="Arial"/>
        <family val="2"/>
      </rPr>
      <t>0 = 0,6)</t>
    </r>
  </si>
  <si>
    <t xml:space="preserve">(*4) Combinaison à vérifier si alt &gt; 500 m (1/2 neige S1) Annexe A de l'ENV 1991-2-3-1995 d'Octobre 1997 </t>
  </si>
  <si>
    <t>(*6) A prendre en compte surtout pour les éléments qui participent au contreventement</t>
  </si>
  <si>
    <t>Nota:</t>
  </si>
  <si>
    <t>COMBINAISONS EC5 STRUCTURES DISSYMETRIQUES</t>
  </si>
  <si>
    <t>WDD</t>
  </si>
  <si>
    <t>WDP</t>
  </si>
  <si>
    <t xml:space="preserve">COMBINAISONS REGLEMENTAIRES à L'EUROCODE 5 </t>
  </si>
  <si>
    <t>Combinaisons simplifiées dans le cadre du BTS SCBH</t>
  </si>
  <si>
    <t>EC0 NF EN 1990 mars 2003</t>
  </si>
  <si>
    <t>AN NF P 06-100-2 Juin 2004</t>
  </si>
  <si>
    <t>CHARGES D'EXPLOITATION BATIMENTS</t>
  </si>
  <si>
    <t>Y0</t>
  </si>
  <si>
    <t>Approche 2</t>
  </si>
  <si>
    <t>Combinaison Caractéristique</t>
  </si>
  <si>
    <t>Combinaison Quasi-permanente</t>
  </si>
  <si>
    <t>F Circulation véhicules &gt;à 30kN et &gt;à 160kN</t>
  </si>
  <si>
    <t>Neige</t>
  </si>
  <si>
    <t>Altitude H &gt; 1000 m</t>
  </si>
  <si>
    <t>NF EN 1990 de Mars 2003</t>
  </si>
  <si>
    <t>Altitude H ≤ 1000 m</t>
  </si>
  <si>
    <t>NF P 06-100-2 de Juin 2004</t>
  </si>
  <si>
    <t>Charges dues au vent</t>
  </si>
  <si>
    <t>(*3) (*5)</t>
  </si>
  <si>
    <t xml:space="preserve">Si S1&lt;0.36G (classe risque 3, neige court terme) alors 1.35G + défavorable que 1.35G+1.5S1 </t>
  </si>
  <si>
    <t>Si S1&lt;0.30G (classe risque 1 et 2, neige moyen terme) alors 1.35G + défavorable que 1.35G+1.5S</t>
  </si>
  <si>
    <t>Si, neige cas i</t>
  </si>
  <si>
    <t xml:space="preserve">(*5) </t>
  </si>
  <si>
    <t>agit dans le sens de G, W- agit dans le sens contraire de G</t>
  </si>
  <si>
    <t xml:space="preserve">W </t>
  </si>
  <si>
    <t>Y1</t>
  </si>
  <si>
    <r>
      <t xml:space="preserve">Tableau des valeurs </t>
    </r>
    <r>
      <rPr>
        <b/>
        <sz val="10"/>
        <rFont val="Symbol"/>
        <family val="1"/>
        <charset val="2"/>
      </rPr>
      <t>Y</t>
    </r>
    <r>
      <rPr>
        <b/>
        <sz val="10"/>
        <rFont val="Arial"/>
        <family val="2"/>
      </rPr>
      <t>0 et</t>
    </r>
    <r>
      <rPr>
        <b/>
        <sz val="10"/>
        <rFont val="Symbol"/>
        <family val="1"/>
        <charset val="2"/>
      </rPr>
      <t xml:space="preserve"> Y</t>
    </r>
    <r>
      <rPr>
        <b/>
        <sz val="10"/>
        <rFont val="Arial"/>
        <family val="2"/>
      </rPr>
      <t>2</t>
    </r>
  </si>
  <si>
    <r>
      <t>Y</t>
    </r>
    <r>
      <rPr>
        <b/>
        <vertAlign val="subscript"/>
        <sz val="10"/>
        <rFont val="Arial"/>
        <family val="2"/>
      </rPr>
      <t>2</t>
    </r>
  </si>
  <si>
    <r>
      <t>Y</t>
    </r>
    <r>
      <rPr>
        <i/>
        <sz val="10"/>
        <rFont val="Arial"/>
        <family val="2"/>
      </rPr>
      <t>2 voir tableau</t>
    </r>
  </si>
  <si>
    <r>
      <t>1.5x</t>
    </r>
    <r>
      <rPr>
        <b/>
        <sz val="10"/>
        <rFont val="Symbol"/>
        <family val="1"/>
        <charset val="2"/>
      </rPr>
      <t>Y0</t>
    </r>
  </si>
  <si>
    <r>
      <t xml:space="preserve">Pour W, 1,5 x </t>
    </r>
    <r>
      <rPr>
        <i/>
        <sz val="10"/>
        <rFont val="Symbol"/>
        <family val="1"/>
        <charset val="2"/>
      </rPr>
      <t>Y</t>
    </r>
    <r>
      <rPr>
        <i/>
        <sz val="10"/>
        <rFont val="Arial"/>
      </rPr>
      <t xml:space="preserve">0 soit 0,9 = 1,5 x </t>
    </r>
    <r>
      <rPr>
        <i/>
        <sz val="10"/>
        <rFont val="Symbol"/>
        <family val="1"/>
        <charset val="2"/>
      </rPr>
      <t>Y</t>
    </r>
    <r>
      <rPr>
        <i/>
        <sz val="10"/>
        <rFont val="Arial"/>
        <family val="2"/>
      </rPr>
      <t>0</t>
    </r>
    <r>
      <rPr>
        <i/>
        <sz val="10"/>
        <rFont val="Symbol"/>
        <family val="1"/>
        <charset val="2"/>
      </rPr>
      <t xml:space="preserve"> (Y</t>
    </r>
    <r>
      <rPr>
        <i/>
        <sz val="10"/>
        <rFont val="Arial"/>
        <family val="2"/>
      </rPr>
      <t>0 = 0,6)</t>
    </r>
  </si>
  <si>
    <r>
      <t>(STRUCTURE BAT)</t>
    </r>
    <r>
      <rPr>
        <b/>
        <sz val="12"/>
        <rFont val="Verdana"/>
        <family val="2"/>
      </rPr>
      <t xml:space="preserve">   G, S et W</t>
    </r>
  </si>
  <si>
    <r>
      <t xml:space="preserve">Pour W, 1,5 x </t>
    </r>
    <r>
      <rPr>
        <i/>
        <sz val="10"/>
        <rFont val="Symbol"/>
        <family val="1"/>
        <charset val="2"/>
      </rPr>
      <t>Y</t>
    </r>
    <r>
      <rPr>
        <i/>
        <sz val="10"/>
        <rFont val="Arial"/>
      </rPr>
      <t xml:space="preserve">0 soit 0,9 = 1,5 x </t>
    </r>
    <r>
      <rPr>
        <i/>
        <sz val="10"/>
        <rFont val="Symbol"/>
        <family val="1"/>
        <charset val="2"/>
      </rPr>
      <t>Y</t>
    </r>
    <r>
      <rPr>
        <i/>
        <sz val="10"/>
        <rFont val="Arial"/>
        <family val="2"/>
      </rPr>
      <t>0</t>
    </r>
    <r>
      <rPr>
        <i/>
        <sz val="10"/>
        <rFont val="Symbol"/>
        <family val="1"/>
        <charset val="2"/>
      </rPr>
      <t xml:space="preserve"> (Y</t>
    </r>
    <r>
      <rPr>
        <i/>
        <sz val="10"/>
        <rFont val="Arial"/>
        <family val="2"/>
      </rPr>
      <t xml:space="preserve">0 = 0,6) </t>
    </r>
  </si>
  <si>
    <r>
      <t xml:space="preserve">Tableau des valeurs </t>
    </r>
    <r>
      <rPr>
        <b/>
        <sz val="10"/>
        <rFont val="Symbol"/>
        <family val="1"/>
        <charset val="2"/>
      </rPr>
      <t>Y1</t>
    </r>
    <r>
      <rPr>
        <b/>
        <sz val="10"/>
        <rFont val="Arial"/>
        <family val="2"/>
      </rPr>
      <t xml:space="preserve"> et </t>
    </r>
    <r>
      <rPr>
        <b/>
        <sz val="10"/>
        <rFont val="Symbol"/>
        <family val="1"/>
        <charset val="2"/>
      </rPr>
      <t>Y</t>
    </r>
    <r>
      <rPr>
        <b/>
        <sz val="10"/>
        <rFont val="Arial"/>
        <family val="2"/>
      </rPr>
      <t>2</t>
    </r>
  </si>
  <si>
    <t>ETUDE DES CHARGES DE NEIGE : EN 1991-1-3</t>
  </si>
  <si>
    <t>kN/m²h</t>
  </si>
  <si>
    <t>B1</t>
  </si>
  <si>
    <t>B2</t>
  </si>
  <si>
    <t>Toiture à 1 versant plan</t>
  </si>
  <si>
    <t>Toiture à 2 versants plans</t>
  </si>
  <si>
    <t>Toiture à versants multiples symétriques</t>
  </si>
  <si>
    <t>Toiture cylindrique</t>
  </si>
  <si>
    <t>Portée b (m)</t>
  </si>
  <si>
    <t>flèche h (m)</t>
  </si>
  <si>
    <t>PROJET</t>
  </si>
  <si>
    <t>Date</t>
  </si>
  <si>
    <t>daN/m²</t>
  </si>
  <si>
    <t>Ks</t>
  </si>
  <si>
    <t>Km</t>
  </si>
  <si>
    <t>Long Pan</t>
  </si>
  <si>
    <t>Pignon</t>
  </si>
  <si>
    <t>Ci+</t>
  </si>
  <si>
    <t>Ci-</t>
  </si>
  <si>
    <t>Angle</t>
  </si>
  <si>
    <t>VENT LONG PAN</t>
  </si>
  <si>
    <t>Parois</t>
  </si>
  <si>
    <t>Ce</t>
  </si>
  <si>
    <t>Ce-Ci+</t>
  </si>
  <si>
    <t>Ce-Ci-</t>
  </si>
  <si>
    <t>5 et 6</t>
  </si>
  <si>
    <t xml:space="preserve">d </t>
  </si>
  <si>
    <t>ELEMENT</t>
  </si>
  <si>
    <t>Entraxe</t>
  </si>
  <si>
    <t>VENT PIGNON</t>
  </si>
  <si>
    <t>zone 1</t>
  </si>
  <si>
    <t>zone 2</t>
  </si>
  <si>
    <t>zone 3</t>
  </si>
  <si>
    <t>zone 4</t>
  </si>
  <si>
    <t>zone 5</t>
  </si>
  <si>
    <t>Site protégé</t>
  </si>
  <si>
    <t>Site normal</t>
  </si>
  <si>
    <t>Site exposé</t>
  </si>
  <si>
    <t>1,2,3 et 4</t>
  </si>
  <si>
    <r>
      <t>q</t>
    </r>
    <r>
      <rPr>
        <vertAlign val="subscript"/>
        <sz val="14"/>
        <rFont val="Arial"/>
        <family val="2"/>
      </rPr>
      <t>10n</t>
    </r>
  </si>
  <si>
    <r>
      <t>l</t>
    </r>
    <r>
      <rPr>
        <sz val="16"/>
        <color indexed="8"/>
        <rFont val="Arial"/>
        <family val="2"/>
      </rPr>
      <t xml:space="preserve">a </t>
    </r>
  </si>
  <si>
    <r>
      <t>l</t>
    </r>
    <r>
      <rPr>
        <sz val="16"/>
        <color indexed="8"/>
        <rFont val="Arial"/>
        <family val="2"/>
      </rPr>
      <t xml:space="preserve">b </t>
    </r>
  </si>
  <si>
    <r>
      <t>g</t>
    </r>
    <r>
      <rPr>
        <vertAlign val="subscript"/>
        <sz val="14"/>
        <color indexed="8"/>
        <rFont val="Arial"/>
        <family val="2"/>
      </rPr>
      <t>0</t>
    </r>
    <r>
      <rPr>
        <sz val="12"/>
        <color indexed="8"/>
        <rFont val="Arial"/>
        <family val="2"/>
      </rPr>
      <t xml:space="preserve">  </t>
    </r>
    <r>
      <rPr>
        <sz val="10"/>
        <color indexed="8"/>
        <rFont val="Arial"/>
        <family val="2"/>
      </rPr>
      <t>Long Pan</t>
    </r>
  </si>
  <si>
    <r>
      <t>g</t>
    </r>
    <r>
      <rPr>
        <vertAlign val="subscript"/>
        <sz val="14"/>
        <color indexed="8"/>
        <rFont val="Arial"/>
        <family val="2"/>
      </rPr>
      <t>0</t>
    </r>
    <r>
      <rPr>
        <sz val="14"/>
        <color indexed="8"/>
        <rFont val="Arial"/>
        <family val="2"/>
      </rPr>
      <t xml:space="preserve">  </t>
    </r>
    <r>
      <rPr>
        <sz val="10"/>
        <color indexed="8"/>
        <rFont val="Arial"/>
        <family val="2"/>
      </rPr>
      <t>Pignon</t>
    </r>
  </si>
  <si>
    <r>
      <t xml:space="preserve">daN/m² (avec </t>
    </r>
    <r>
      <rPr>
        <b/>
        <sz val="10"/>
        <rFont val="Symbol"/>
        <family val="1"/>
        <charset val="2"/>
      </rPr>
      <t>d</t>
    </r>
    <r>
      <rPr>
        <b/>
        <sz val="10"/>
        <rFont val="Arial"/>
        <family val="2"/>
      </rPr>
      <t>=1)</t>
    </r>
  </si>
  <si>
    <r>
      <t xml:space="preserve">daN/m (avec </t>
    </r>
    <r>
      <rPr>
        <b/>
        <sz val="10"/>
        <rFont val="Symbol"/>
        <family val="1"/>
        <charset val="2"/>
      </rPr>
      <t>d</t>
    </r>
    <r>
      <rPr>
        <b/>
        <sz val="10"/>
        <rFont val="Arial"/>
        <family val="2"/>
      </rPr>
      <t xml:space="preserve"> et l'entraxe)</t>
    </r>
  </si>
  <si>
    <r>
      <t xml:space="preserve">W </t>
    </r>
    <r>
      <rPr>
        <b/>
        <sz val="8"/>
        <rFont val="Arial"/>
        <family val="2"/>
      </rPr>
      <t>press. int</t>
    </r>
  </si>
  <si>
    <r>
      <t xml:space="preserve">W </t>
    </r>
    <r>
      <rPr>
        <b/>
        <sz val="8"/>
        <rFont val="Arial"/>
        <family val="2"/>
      </rPr>
      <t>dépress. int</t>
    </r>
  </si>
  <si>
    <t>COMBINAISONS EC5 TOITURES ACCESSIBLES CATEGORIE I</t>
  </si>
  <si>
    <t>S2</t>
  </si>
  <si>
    <t>S1</t>
  </si>
  <si>
    <t>EQU</t>
  </si>
  <si>
    <t>(*6) A prendre en compte surtout pour les éléments participants au contreventement</t>
  </si>
  <si>
    <r>
      <t xml:space="preserve">(STRUCTURE BAT </t>
    </r>
    <r>
      <rPr>
        <i/>
        <sz val="8"/>
        <rFont val="Verdana"/>
        <family val="2"/>
      </rPr>
      <t>)</t>
    </r>
    <r>
      <rPr>
        <b/>
        <sz val="12"/>
        <rFont val="Verdana"/>
        <family val="2"/>
      </rPr>
      <t xml:space="preserve">    G, Q, S et W </t>
    </r>
  </si>
  <si>
    <t>RETOUR MENU CHARGEMENTS</t>
  </si>
  <si>
    <r>
      <t xml:space="preserve"> MENU</t>
    </r>
    <r>
      <rPr>
        <sz val="20"/>
        <color indexed="10"/>
        <rFont val="Verdana"/>
        <family val="2"/>
      </rPr>
      <t xml:space="preserve"> </t>
    </r>
    <r>
      <rPr>
        <b/>
        <sz val="20"/>
        <color indexed="10"/>
        <rFont val="Verdana"/>
        <family val="2"/>
      </rPr>
      <t>COACH CHARGEMENTS</t>
    </r>
  </si>
  <si>
    <t xml:space="preserve">MENU </t>
  </si>
  <si>
    <r>
      <t xml:space="preserve">(*2) si assemblage Bois/Métal, porter t1 = à t2 et </t>
    </r>
    <r>
      <rPr>
        <b/>
        <i/>
        <sz val="10"/>
        <color indexed="10"/>
        <rFont val="Symbol"/>
        <family val="1"/>
        <charset val="2"/>
      </rPr>
      <t>a</t>
    </r>
    <r>
      <rPr>
        <b/>
        <i/>
        <sz val="10"/>
        <color indexed="10"/>
        <rFont val="Arial"/>
        <family val="2"/>
      </rPr>
      <t xml:space="preserve">t1 = à </t>
    </r>
    <r>
      <rPr>
        <b/>
        <i/>
        <sz val="10"/>
        <color indexed="10"/>
        <rFont val="Symbol"/>
        <family val="1"/>
        <charset val="2"/>
      </rPr>
      <t>a</t>
    </r>
    <r>
      <rPr>
        <b/>
        <i/>
        <sz val="10"/>
        <color indexed="10"/>
        <rFont val="Arial"/>
        <family val="2"/>
      </rPr>
      <t>t2</t>
    </r>
  </si>
  <si>
    <t xml:space="preserve"> VERIFICATIONS DES SECTIONS</t>
  </si>
  <si>
    <t>MENU CHARGEMENTS</t>
  </si>
  <si>
    <r>
      <t>(Calcul automatique combinaisons)</t>
    </r>
    <r>
      <rPr>
        <b/>
        <sz val="12"/>
        <color indexed="12"/>
        <rFont val="Verdana"/>
        <family val="2"/>
      </rPr>
      <t xml:space="preserve"> Structures symétriques</t>
    </r>
  </si>
  <si>
    <r>
      <t xml:space="preserve">(Calcul automatique combinaisons) </t>
    </r>
    <r>
      <rPr>
        <b/>
        <sz val="12"/>
        <color indexed="12"/>
        <rFont val="Verdana"/>
        <family val="2"/>
      </rPr>
      <t xml:space="preserve">Barres isolées </t>
    </r>
  </si>
  <si>
    <r>
      <t xml:space="preserve">(Calcul automatique combinaisons) </t>
    </r>
    <r>
      <rPr>
        <b/>
        <sz val="12"/>
        <color indexed="12"/>
        <rFont val="Verdana"/>
        <family val="2"/>
      </rPr>
      <t>Structures dissymétriques</t>
    </r>
  </si>
  <si>
    <r>
      <t xml:space="preserve">(Calcul automatique combinaisons) </t>
    </r>
    <r>
      <rPr>
        <b/>
        <sz val="12"/>
        <color indexed="12"/>
        <rFont val="Verdana"/>
        <family val="2"/>
      </rPr>
      <t>Toitures avec charges d'exploitation (catégorie I) (*)</t>
    </r>
  </si>
  <si>
    <r>
      <t>Combinaisons EC5</t>
    </r>
    <r>
      <rPr>
        <b/>
        <sz val="12"/>
        <color indexed="14"/>
        <rFont val="Verdana"/>
        <family val="2"/>
      </rPr>
      <t xml:space="preserve"> (liste réglementaire adaptée au BTS SCBH)</t>
    </r>
  </si>
  <si>
    <t>C1</t>
  </si>
  <si>
    <t>C2</t>
  </si>
  <si>
    <t>C18</t>
  </si>
  <si>
    <t>C22</t>
  </si>
  <si>
    <t>C24</t>
  </si>
  <si>
    <t>C27</t>
  </si>
  <si>
    <t>C30</t>
  </si>
  <si>
    <t>formule</t>
  </si>
  <si>
    <t xml:space="preserve">CISAILLEMENT DE BLOC </t>
  </si>
  <si>
    <t>CARACTERISTIQUES DES BOIS</t>
  </si>
  <si>
    <t>ka1</t>
  </si>
  <si>
    <t>ka2</t>
  </si>
  <si>
    <r>
      <t>k</t>
    </r>
    <r>
      <rPr>
        <b/>
        <vertAlign val="subscript"/>
        <sz val="12"/>
        <rFont val="Arial"/>
        <family val="2"/>
      </rPr>
      <t>R,red</t>
    </r>
    <r>
      <rPr>
        <sz val="10"/>
        <rFont val="Arial"/>
        <family val="2"/>
      </rPr>
      <t>, facteur de réduction la résistance</t>
    </r>
  </si>
  <si>
    <t>ka1 a1</t>
  </si>
  <si>
    <t>ka2 a2</t>
  </si>
  <si>
    <t>Symbole</t>
  </si>
  <si>
    <t>C14</t>
  </si>
  <si>
    <t>C16</t>
  </si>
  <si>
    <t>C35</t>
  </si>
  <si>
    <t>C40</t>
  </si>
  <si>
    <t>Flexion</t>
  </si>
  <si>
    <t>Traction axiale</t>
  </si>
  <si>
    <t>Traction transversale</t>
  </si>
  <si>
    <t>Cisaillement</t>
  </si>
  <si>
    <t>Module moyen d'élasticité axial</t>
  </si>
  <si>
    <t>Module d'élasticité axial au fractile 5%</t>
  </si>
  <si>
    <t>Masse volumique moyenne</t>
  </si>
  <si>
    <t>GL24h</t>
  </si>
  <si>
    <t>GL28h</t>
  </si>
  <si>
    <t>GL32h</t>
  </si>
  <si>
    <t>GL36h</t>
  </si>
  <si>
    <t>GL24c</t>
  </si>
  <si>
    <t>GL28c</t>
  </si>
  <si>
    <t>GL32c</t>
  </si>
  <si>
    <t>GL36c</t>
  </si>
  <si>
    <t>D35</t>
  </si>
  <si>
    <t>D40</t>
  </si>
  <si>
    <t>D50</t>
  </si>
  <si>
    <t>D60</t>
  </si>
  <si>
    <t>D70</t>
  </si>
  <si>
    <r>
      <t>f</t>
    </r>
    <r>
      <rPr>
        <vertAlign val="subscript"/>
        <sz val="9"/>
        <rFont val="Arial"/>
        <family val="2"/>
      </rPr>
      <t>m,k</t>
    </r>
  </si>
  <si>
    <r>
      <t>f</t>
    </r>
    <r>
      <rPr>
        <vertAlign val="subscript"/>
        <sz val="9"/>
        <rFont val="Arial"/>
        <family val="2"/>
      </rPr>
      <t>t,0,k</t>
    </r>
  </si>
  <si>
    <r>
      <t>f</t>
    </r>
    <r>
      <rPr>
        <vertAlign val="subscript"/>
        <sz val="9"/>
        <rFont val="Arial"/>
        <family val="2"/>
      </rPr>
      <t>t,90,k</t>
    </r>
  </si>
  <si>
    <r>
      <t>f</t>
    </r>
    <r>
      <rPr>
        <vertAlign val="subscript"/>
        <sz val="9"/>
        <rFont val="Arial"/>
        <family val="2"/>
      </rPr>
      <t>c,0,k</t>
    </r>
  </si>
  <si>
    <r>
      <t>f</t>
    </r>
    <r>
      <rPr>
        <vertAlign val="subscript"/>
        <sz val="9"/>
        <rFont val="Arial"/>
        <family val="2"/>
      </rPr>
      <t>c,90,k</t>
    </r>
  </si>
  <si>
    <r>
      <t>f</t>
    </r>
    <r>
      <rPr>
        <vertAlign val="subscript"/>
        <sz val="9"/>
        <rFont val="Arial"/>
        <family val="2"/>
      </rPr>
      <t>v,k</t>
    </r>
  </si>
  <si>
    <r>
      <t>E</t>
    </r>
    <r>
      <rPr>
        <vertAlign val="subscript"/>
        <sz val="9"/>
        <rFont val="Arial"/>
        <family val="2"/>
      </rPr>
      <t>0,moy</t>
    </r>
  </si>
  <si>
    <r>
      <t>E</t>
    </r>
    <r>
      <rPr>
        <vertAlign val="subscript"/>
        <sz val="9"/>
        <rFont val="Arial"/>
        <family val="2"/>
      </rPr>
      <t>0,0.5</t>
    </r>
  </si>
  <si>
    <r>
      <t>r</t>
    </r>
    <r>
      <rPr>
        <sz val="9"/>
        <rFont val="Arial"/>
        <family val="2"/>
      </rPr>
      <t>moy</t>
    </r>
  </si>
  <si>
    <t>kN/mm²</t>
  </si>
  <si>
    <t>D30</t>
  </si>
  <si>
    <t>Epaisseur bois t1</t>
  </si>
  <si>
    <t>Rk à retenir simple cisaillement</t>
  </si>
  <si>
    <t>Rk à retenir double cisaillement</t>
  </si>
  <si>
    <r>
      <t xml:space="preserve">Rd Les coefs Kmod et </t>
    </r>
    <r>
      <rPr>
        <i/>
        <sz val="8"/>
        <rFont val="Symbol"/>
        <family val="1"/>
        <charset val="2"/>
      </rPr>
      <t>g</t>
    </r>
    <r>
      <rPr>
        <i/>
        <sz val="8"/>
        <rFont val="Arial"/>
        <family val="2"/>
      </rPr>
      <t>M</t>
    </r>
    <r>
      <rPr>
        <i/>
        <sz val="8"/>
        <rFont val="Arial"/>
      </rPr>
      <t xml:space="preserve"> sont pris en compte</t>
    </r>
  </si>
  <si>
    <r>
      <t xml:space="preserve">Rk,  coefs Kmod et </t>
    </r>
    <r>
      <rPr>
        <i/>
        <sz val="8"/>
        <rFont val="Symbol"/>
        <family val="1"/>
        <charset val="2"/>
      </rPr>
      <t>g</t>
    </r>
    <r>
      <rPr>
        <i/>
        <sz val="8"/>
        <rFont val="Arial"/>
        <family val="2"/>
      </rPr>
      <t xml:space="preserve">M </t>
    </r>
    <r>
      <rPr>
        <i/>
        <sz val="8"/>
        <rFont val="Arial"/>
      </rPr>
      <t>pris en compte</t>
    </r>
  </si>
  <si>
    <t>Arrachement pointe lisse (Rk)</t>
  </si>
  <si>
    <t>Arrachement pointe torsadée ou crantée Rk</t>
  </si>
  <si>
    <t>Rk à retenir</t>
  </si>
  <si>
    <t>Arrachement Rk sur un tire-fonds</t>
  </si>
  <si>
    <t xml:space="preserve">Si + de 2 anneaux en lignes, résistance par anneau </t>
  </si>
  <si>
    <t>et par plan de cisaillement</t>
  </si>
  <si>
    <r>
      <t xml:space="preserve">Rd Les coefs Kmod et </t>
    </r>
    <r>
      <rPr>
        <b/>
        <i/>
        <sz val="8"/>
        <rFont val="Symbol"/>
        <family val="1"/>
        <charset val="2"/>
      </rPr>
      <t>g</t>
    </r>
    <r>
      <rPr>
        <b/>
        <i/>
        <sz val="8"/>
        <rFont val="Arial"/>
        <family val="2"/>
      </rPr>
      <t>M</t>
    </r>
    <r>
      <rPr>
        <b/>
        <i/>
        <sz val="8"/>
        <rFont val="Arial"/>
      </rPr>
      <t xml:space="preserve"> sont pris en compte</t>
    </r>
  </si>
  <si>
    <t>Nombre de plans de cisaillement dans l'assemblage</t>
  </si>
  <si>
    <t>Résistance de l'assemblage Rd</t>
  </si>
  <si>
    <t>Résistance pour un crampon avec effet du boulon (*)</t>
  </si>
  <si>
    <r>
      <t xml:space="preserve">(*) Les coefs Kmod et </t>
    </r>
    <r>
      <rPr>
        <b/>
        <sz val="11"/>
        <rFont val="Symbol"/>
        <family val="1"/>
        <charset val="2"/>
      </rPr>
      <t>g</t>
    </r>
    <r>
      <rPr>
        <b/>
        <sz val="11"/>
        <rFont val="Arial"/>
        <family val="2"/>
      </rPr>
      <t>M</t>
    </r>
    <r>
      <rPr>
        <b/>
        <sz val="11"/>
        <rFont val="Arial"/>
      </rPr>
      <t xml:space="preserve"> sont pris en compte</t>
    </r>
  </si>
  <si>
    <r>
      <t xml:space="preserve">Effet du boulon (calcul excel) </t>
    </r>
    <r>
      <rPr>
        <b/>
        <sz val="12"/>
        <rFont val="Arial"/>
        <family val="2"/>
      </rPr>
      <t>Fv,rk</t>
    </r>
    <r>
      <rPr>
        <sz val="10"/>
        <rFont val="Arial"/>
      </rPr>
      <t xml:space="preserve"> à reporter (*) </t>
    </r>
  </si>
  <si>
    <t>Epaisseur bois t2</t>
  </si>
  <si>
    <t>Portance locale bois sur t1</t>
  </si>
  <si>
    <t>Portance locale bois sur t2</t>
  </si>
  <si>
    <t>Diamétre du boulon</t>
  </si>
  <si>
    <t>Résistance caractéristique du boulon</t>
  </si>
  <si>
    <t>a</t>
  </si>
  <si>
    <r>
      <t>t</t>
    </r>
    <r>
      <rPr>
        <sz val="10"/>
        <rFont val="Arial"/>
        <family val="2"/>
      </rPr>
      <t>2</t>
    </r>
  </si>
  <si>
    <r>
      <t>t</t>
    </r>
    <r>
      <rPr>
        <sz val="10"/>
        <rFont val="Arial"/>
        <family val="2"/>
      </rPr>
      <t>1</t>
    </r>
  </si>
  <si>
    <t>d</t>
  </si>
  <si>
    <r>
      <t>f</t>
    </r>
    <r>
      <rPr>
        <sz val="10"/>
        <rFont val="Arial"/>
        <family val="2"/>
      </rPr>
      <t>uk</t>
    </r>
  </si>
  <si>
    <t>Angle effort / fil du bois par rapport à t1</t>
  </si>
  <si>
    <r>
      <t xml:space="preserve">a </t>
    </r>
    <r>
      <rPr>
        <sz val="14"/>
        <rFont val="Arial"/>
        <family val="2"/>
      </rPr>
      <t>t</t>
    </r>
    <r>
      <rPr>
        <sz val="10"/>
        <rFont val="Arial"/>
        <family val="2"/>
      </rPr>
      <t>1</t>
    </r>
  </si>
  <si>
    <r>
      <t xml:space="preserve">a </t>
    </r>
    <r>
      <rPr>
        <sz val="14"/>
        <rFont val="Arial"/>
        <family val="2"/>
      </rPr>
      <t>t</t>
    </r>
    <r>
      <rPr>
        <sz val="10"/>
        <rFont val="Arial"/>
        <family val="2"/>
      </rPr>
      <t>2</t>
    </r>
  </si>
  <si>
    <t>Angle effort / fil du bois par rapport à t2</t>
  </si>
  <si>
    <r>
      <t>Rapport</t>
    </r>
    <r>
      <rPr>
        <sz val="14"/>
        <rFont val="Arial"/>
        <family val="2"/>
      </rPr>
      <t xml:space="preserve"> f</t>
    </r>
    <r>
      <rPr>
        <sz val="10"/>
        <rFont val="Arial"/>
      </rPr>
      <t xml:space="preserve">h2 / </t>
    </r>
    <r>
      <rPr>
        <sz val="14"/>
        <rFont val="Arial"/>
        <family val="2"/>
      </rPr>
      <t>f</t>
    </r>
    <r>
      <rPr>
        <sz val="10"/>
        <rFont val="Arial"/>
      </rPr>
      <t>h1</t>
    </r>
  </si>
  <si>
    <t>b</t>
  </si>
  <si>
    <t>Moment plastique du boulon</t>
  </si>
  <si>
    <r>
      <t>M</t>
    </r>
    <r>
      <rPr>
        <sz val="10"/>
        <rFont val="Arial"/>
        <family val="2"/>
      </rPr>
      <t>yk</t>
    </r>
  </si>
  <si>
    <r>
      <t>f</t>
    </r>
    <r>
      <rPr>
        <sz val="10"/>
        <rFont val="Arial"/>
        <family val="2"/>
      </rPr>
      <t>h1k</t>
    </r>
  </si>
  <si>
    <r>
      <t>f</t>
    </r>
    <r>
      <rPr>
        <sz val="10"/>
        <rFont val="Arial"/>
        <family val="2"/>
      </rPr>
      <t>h2k</t>
    </r>
  </si>
  <si>
    <r>
      <t xml:space="preserve">Masse volumique  </t>
    </r>
    <r>
      <rPr>
        <sz val="14"/>
        <rFont val="Symbol"/>
        <family val="1"/>
        <charset val="2"/>
      </rPr>
      <t>r</t>
    </r>
    <r>
      <rPr>
        <sz val="10"/>
        <rFont val="Arial"/>
      </rPr>
      <t>k du bois</t>
    </r>
  </si>
  <si>
    <r>
      <t xml:space="preserve"> </t>
    </r>
    <r>
      <rPr>
        <sz val="14"/>
        <rFont val="Symbol"/>
        <family val="1"/>
        <charset val="2"/>
      </rPr>
      <t>r</t>
    </r>
    <r>
      <rPr>
        <sz val="10"/>
        <rFont val="Arial"/>
      </rPr>
      <t xml:space="preserve">k </t>
    </r>
  </si>
  <si>
    <t>daN/m3</t>
  </si>
  <si>
    <t>mm</t>
  </si>
  <si>
    <t>en degré</t>
  </si>
  <si>
    <t>Mpa</t>
  </si>
  <si>
    <t>N.mm</t>
  </si>
  <si>
    <t>DONNEES</t>
  </si>
  <si>
    <t>c</t>
  </si>
  <si>
    <t>e</t>
  </si>
  <si>
    <t>f</t>
  </si>
  <si>
    <t>g</t>
  </si>
  <si>
    <t>h</t>
  </si>
  <si>
    <t>RESULTATS</t>
  </si>
  <si>
    <t>N</t>
  </si>
  <si>
    <t>Simple cisaillement MODE 1</t>
  </si>
  <si>
    <t>j</t>
  </si>
  <si>
    <t>k</t>
  </si>
  <si>
    <t>Double cisaillement MODE 1</t>
  </si>
  <si>
    <t>Simple cisaillement MODE 2</t>
  </si>
  <si>
    <t>Simple cisaillement MODE 3</t>
  </si>
  <si>
    <t>Double cisaillement MODE 2</t>
  </si>
  <si>
    <t>Double cisaillement MODE 3</t>
  </si>
  <si>
    <t>… selon classe de résistance</t>
  </si>
  <si>
    <t>k90</t>
  </si>
  <si>
    <t>R</t>
  </si>
  <si>
    <r>
      <t xml:space="preserve">a </t>
    </r>
    <r>
      <rPr>
        <sz val="10"/>
        <rFont val="Arial"/>
        <family val="2"/>
      </rPr>
      <t>t1</t>
    </r>
  </si>
  <si>
    <r>
      <t xml:space="preserve">a </t>
    </r>
    <r>
      <rPr>
        <sz val="10"/>
        <rFont val="Arial"/>
        <family val="2"/>
      </rPr>
      <t>t2</t>
    </r>
  </si>
  <si>
    <t>cos²</t>
  </si>
  <si>
    <t>sin²</t>
  </si>
  <si>
    <t>fh0k</t>
  </si>
  <si>
    <t>fh1k</t>
  </si>
  <si>
    <t>fh2k</t>
  </si>
  <si>
    <r>
      <t>Résineux "</t>
    </r>
    <r>
      <rPr>
        <sz val="14"/>
        <rFont val="Arial"/>
        <family val="2"/>
      </rPr>
      <t>R</t>
    </r>
    <r>
      <rPr>
        <sz val="10"/>
        <rFont val="Arial"/>
      </rPr>
      <t>" Feuillus "</t>
    </r>
    <r>
      <rPr>
        <sz val="14"/>
        <rFont val="Arial"/>
        <family val="2"/>
      </rPr>
      <t>F</t>
    </r>
    <r>
      <rPr>
        <sz val="10"/>
        <rFont val="Arial"/>
      </rPr>
      <t>"</t>
    </r>
  </si>
  <si>
    <t xml:space="preserve">R, F </t>
  </si>
  <si>
    <r>
      <t>a</t>
    </r>
    <r>
      <rPr>
        <sz val="10"/>
        <rFont val="Arial"/>
        <family val="2"/>
      </rPr>
      <t>1</t>
    </r>
  </si>
  <si>
    <t>ka</t>
  </si>
  <si>
    <t>t2/t1</t>
  </si>
  <si>
    <t>(t2/t1)²</t>
  </si>
  <si>
    <r>
      <t xml:space="preserve">Distance </t>
    </r>
    <r>
      <rPr>
        <b/>
        <sz val="10"/>
        <rFont val="Arial"/>
        <family val="2"/>
      </rPr>
      <t>a</t>
    </r>
    <r>
      <rPr>
        <sz val="10"/>
        <rFont val="Arial"/>
      </rPr>
      <t xml:space="preserve">1 </t>
    </r>
    <r>
      <rPr>
        <b/>
        <sz val="10"/>
        <rFont val="Arial"/>
        <family val="2"/>
      </rPr>
      <t>(compris entre 4d et 7d)</t>
    </r>
  </si>
  <si>
    <t>racine c</t>
  </si>
  <si>
    <t>racine d</t>
  </si>
  <si>
    <t>racine e</t>
  </si>
  <si>
    <t>racine f</t>
  </si>
  <si>
    <t>racine f'</t>
  </si>
  <si>
    <t xml:space="preserve">Indiquer la lettre R, F </t>
  </si>
  <si>
    <t>ASSEMBLAGES PAR BOULONS OU PAR BROCHES BOIS / BOIS</t>
  </si>
  <si>
    <r>
      <t xml:space="preserve">Epaisseur </t>
    </r>
    <r>
      <rPr>
        <b/>
        <sz val="10"/>
        <rFont val="Arial"/>
        <family val="2"/>
      </rPr>
      <t>CP</t>
    </r>
    <r>
      <rPr>
        <sz val="10"/>
        <rFont val="Arial"/>
      </rPr>
      <t xml:space="preserve"> t1</t>
    </r>
  </si>
  <si>
    <t>fh0k bois</t>
  </si>
  <si>
    <r>
      <t xml:space="preserve">Masse volumique  </t>
    </r>
    <r>
      <rPr>
        <sz val="14"/>
        <rFont val="Symbol"/>
        <family val="1"/>
        <charset val="2"/>
      </rPr>
      <t>r</t>
    </r>
    <r>
      <rPr>
        <sz val="10"/>
        <rFont val="Arial"/>
      </rPr>
      <t>k du CP</t>
    </r>
  </si>
  <si>
    <r>
      <t xml:space="preserve"> </t>
    </r>
    <r>
      <rPr>
        <sz val="14"/>
        <rFont val="Symbol"/>
        <family val="1"/>
        <charset val="2"/>
      </rPr>
      <t>r</t>
    </r>
    <r>
      <rPr>
        <sz val="10"/>
        <rFont val="Arial"/>
      </rPr>
      <t>k BM</t>
    </r>
  </si>
  <si>
    <r>
      <t xml:space="preserve"> </t>
    </r>
    <r>
      <rPr>
        <sz val="14"/>
        <rFont val="Symbol"/>
        <family val="1"/>
        <charset val="2"/>
      </rPr>
      <t>r</t>
    </r>
    <r>
      <rPr>
        <sz val="10"/>
        <rFont val="Arial"/>
      </rPr>
      <t>k CP</t>
    </r>
  </si>
  <si>
    <r>
      <t xml:space="preserve">Masse volumique  </t>
    </r>
    <r>
      <rPr>
        <sz val="14"/>
        <rFont val="Symbol"/>
        <family val="1"/>
        <charset val="2"/>
      </rPr>
      <t>r</t>
    </r>
    <r>
      <rPr>
        <sz val="10"/>
        <rFont val="Arial"/>
      </rPr>
      <t>k du BM</t>
    </r>
  </si>
  <si>
    <t>fh0k CP</t>
  </si>
  <si>
    <r>
      <t xml:space="preserve">Portance locale </t>
    </r>
    <r>
      <rPr>
        <b/>
        <sz val="10"/>
        <rFont val="Arial"/>
        <family val="2"/>
      </rPr>
      <t>CP</t>
    </r>
    <r>
      <rPr>
        <sz val="10"/>
        <rFont val="Arial"/>
      </rPr>
      <t xml:space="preserve"> sur t1</t>
    </r>
  </si>
  <si>
    <t>ASSEMBLAGES PAR BOULONS OU PAR BROCHES CP / CP</t>
  </si>
  <si>
    <r>
      <t xml:space="preserve">Epaisseur </t>
    </r>
    <r>
      <rPr>
        <b/>
        <sz val="10"/>
        <rFont val="Arial"/>
        <family val="2"/>
      </rPr>
      <t>CP</t>
    </r>
    <r>
      <rPr>
        <sz val="10"/>
        <rFont val="Arial"/>
      </rPr>
      <t xml:space="preserve"> t2</t>
    </r>
  </si>
  <si>
    <r>
      <t xml:space="preserve">Portance locale </t>
    </r>
    <r>
      <rPr>
        <b/>
        <sz val="10"/>
        <rFont val="Arial"/>
        <family val="2"/>
      </rPr>
      <t>CP</t>
    </r>
    <r>
      <rPr>
        <sz val="10"/>
        <rFont val="Arial"/>
      </rPr>
      <t xml:space="preserve"> sur t2</t>
    </r>
  </si>
  <si>
    <t>Coefficient Kmod</t>
  </si>
  <si>
    <r>
      <t>K</t>
    </r>
    <r>
      <rPr>
        <sz val="9"/>
        <rFont val="Arial"/>
        <family val="2"/>
      </rPr>
      <t>mod</t>
    </r>
  </si>
  <si>
    <t>Rd à retenir simple cisaillement</t>
  </si>
  <si>
    <t>Rd à retenir double cisaillement</t>
  </si>
  <si>
    <r>
      <t xml:space="preserve">Les coefs Kmod et </t>
    </r>
    <r>
      <rPr>
        <b/>
        <i/>
        <sz val="8"/>
        <rFont val="Symbol"/>
        <family val="1"/>
        <charset val="2"/>
      </rPr>
      <t>g</t>
    </r>
    <r>
      <rPr>
        <b/>
        <i/>
        <sz val="8"/>
        <rFont val="Arial"/>
        <family val="2"/>
      </rPr>
      <t>M</t>
    </r>
    <r>
      <rPr>
        <b/>
        <i/>
        <sz val="8"/>
        <rFont val="Arial"/>
      </rPr>
      <t xml:space="preserve"> sont pris en compte</t>
    </r>
  </si>
  <si>
    <t>ø boulon</t>
  </si>
  <si>
    <t>degré</t>
  </si>
  <si>
    <t>a1</t>
  </si>
  <si>
    <t>a2</t>
  </si>
  <si>
    <t>angle</t>
  </si>
  <si>
    <t>a3t</t>
  </si>
  <si>
    <t>90°&lt;α&lt;-90°</t>
  </si>
  <si>
    <t>a3c</t>
  </si>
  <si>
    <t>a4t</t>
  </si>
  <si>
    <t>0°&lt;α&lt;180°</t>
  </si>
  <si>
    <t>a4c</t>
  </si>
  <si>
    <t>ø broche</t>
  </si>
  <si>
    <r>
      <t>Résineux "</t>
    </r>
    <r>
      <rPr>
        <sz val="14"/>
        <rFont val="Arial"/>
        <family val="2"/>
      </rPr>
      <t>R</t>
    </r>
    <r>
      <rPr>
        <sz val="10"/>
        <rFont val="Arial"/>
      </rPr>
      <t>" Feuillus "</t>
    </r>
    <r>
      <rPr>
        <sz val="14"/>
        <rFont val="Arial"/>
        <family val="2"/>
      </rPr>
      <t>F</t>
    </r>
    <r>
      <rPr>
        <sz val="10"/>
        <rFont val="Arial"/>
      </rPr>
      <t>" Contreplaqué "</t>
    </r>
    <r>
      <rPr>
        <b/>
        <sz val="14"/>
        <rFont val="Arial"/>
        <family val="2"/>
      </rPr>
      <t>C</t>
    </r>
    <r>
      <rPr>
        <sz val="10"/>
        <rFont val="Arial"/>
      </rPr>
      <t>"</t>
    </r>
  </si>
  <si>
    <t>R, F ,C</t>
  </si>
  <si>
    <t>Indiquer la lettre R, F, C</t>
  </si>
  <si>
    <r>
      <t xml:space="preserve">Masse volumique  </t>
    </r>
    <r>
      <rPr>
        <sz val="14"/>
        <rFont val="Symbol"/>
        <family val="1"/>
        <charset val="2"/>
      </rPr>
      <t>r</t>
    </r>
    <r>
      <rPr>
        <sz val="10"/>
        <rFont val="Arial"/>
      </rPr>
      <t>k du bois ou du CP</t>
    </r>
  </si>
  <si>
    <t>Epaisseur plaque métallique t</t>
  </si>
  <si>
    <t>t</t>
  </si>
  <si>
    <t>Coef Kmod (selon classe de service)</t>
  </si>
  <si>
    <r>
      <t>K</t>
    </r>
    <r>
      <rPr>
        <b/>
        <vertAlign val="subscript"/>
        <sz val="12"/>
        <rFont val="Arial"/>
        <family val="2"/>
      </rPr>
      <t>mod</t>
    </r>
  </si>
  <si>
    <t>Rapport ep plaque / d boulon</t>
  </si>
  <si>
    <t>t/d</t>
  </si>
  <si>
    <t>t&lt;0.5d, rupture mode 1 (*)</t>
  </si>
  <si>
    <t>t&lt;0.5d, rupture mode 2 (*)</t>
  </si>
  <si>
    <t>t&gt;d, rupture mode 2 (*)</t>
  </si>
  <si>
    <t>t&gt;d, rupture mode 3 (*)</t>
  </si>
  <si>
    <t>Rd à retenir (*)</t>
  </si>
  <si>
    <t>Rd</t>
  </si>
  <si>
    <t>(*)</t>
  </si>
  <si>
    <r>
      <t xml:space="preserve">Les coefs Kmod et </t>
    </r>
    <r>
      <rPr>
        <b/>
        <sz val="14"/>
        <rFont val="Symbol"/>
        <family val="1"/>
        <charset val="2"/>
      </rPr>
      <t>g</t>
    </r>
    <r>
      <rPr>
        <b/>
        <sz val="8"/>
        <rFont val="Arial"/>
        <family val="2"/>
      </rPr>
      <t>M</t>
    </r>
    <r>
      <rPr>
        <b/>
        <sz val="10"/>
        <rFont val="Arial"/>
      </rPr>
      <t xml:space="preserve"> sont pris en compte</t>
    </r>
  </si>
  <si>
    <t>min a,b</t>
  </si>
  <si>
    <t>min c,d</t>
  </si>
  <si>
    <t>a,b - c,d</t>
  </si>
  <si>
    <t>interpolation</t>
  </si>
  <si>
    <t>rupture mode 1 (*)</t>
  </si>
  <si>
    <t>rupture mode 2 (*)</t>
  </si>
  <si>
    <t>rupture mode 3 (*)</t>
  </si>
  <si>
    <t>F</t>
  </si>
  <si>
    <t>ASSEMBLAGES BOULONS OU BROCHES [ACIER Plaques latérales / BOIS] (2X CISAILLEMENT)</t>
  </si>
  <si>
    <t>Epaisseur bois t2 pièce centrale</t>
  </si>
  <si>
    <t>t2</t>
  </si>
  <si>
    <r>
      <t xml:space="preserve">a </t>
    </r>
    <r>
      <rPr>
        <sz val="14"/>
        <rFont val="Arial"/>
        <family val="2"/>
      </rPr>
      <t>t2</t>
    </r>
  </si>
  <si>
    <t>t&lt;0.5d, rupture mode 3 (*)</t>
  </si>
  <si>
    <t>t&gt;d, rupture mode 1 (*)</t>
  </si>
  <si>
    <t>BOIS MASSIF</t>
  </si>
  <si>
    <t>LAMELLE COLLE</t>
  </si>
  <si>
    <t>l</t>
  </si>
  <si>
    <t>NET,FIN</t>
  </si>
  <si>
    <r>
      <t>1+k</t>
    </r>
    <r>
      <rPr>
        <i/>
        <vertAlign val="subscript"/>
        <sz val="10"/>
        <rFont val="Verdana"/>
        <family val="2"/>
      </rPr>
      <t>def</t>
    </r>
  </si>
  <si>
    <r>
      <t>1+k</t>
    </r>
    <r>
      <rPr>
        <i/>
        <vertAlign val="subscript"/>
        <sz val="10"/>
        <rFont val="Verdana"/>
        <family val="2"/>
      </rPr>
      <t>def</t>
    </r>
    <r>
      <rPr>
        <i/>
        <sz val="10"/>
        <rFont val="Verdana"/>
        <family val="2"/>
      </rPr>
      <t xml:space="preserve"> </t>
    </r>
    <r>
      <rPr>
        <i/>
        <sz val="10"/>
        <rFont val="Symbol"/>
        <family val="1"/>
        <charset val="2"/>
      </rPr>
      <t>Y</t>
    </r>
    <r>
      <rPr>
        <i/>
        <sz val="10"/>
        <rFont val="Verdana"/>
        <family val="2"/>
      </rPr>
      <t>2</t>
    </r>
  </si>
  <si>
    <t>NOM DU PROJET :</t>
  </si>
  <si>
    <t>Compression axiale</t>
  </si>
  <si>
    <t>Compression transversale</t>
  </si>
  <si>
    <t>Angle de l'effort / fibre</t>
  </si>
  <si>
    <t>Compression oblique</t>
  </si>
  <si>
    <t>Données</t>
  </si>
  <si>
    <t>Résultats</t>
  </si>
  <si>
    <r>
      <t>RESISTANCE A LA COMPRESSION SELON ANGLE</t>
    </r>
    <r>
      <rPr>
        <sz val="14"/>
        <color indexed="10"/>
        <rFont val="Symbol"/>
        <family val="1"/>
        <charset val="2"/>
      </rPr>
      <t xml:space="preserve"> </t>
    </r>
    <r>
      <rPr>
        <b/>
        <sz val="20"/>
        <color indexed="10"/>
        <rFont val="Symbol"/>
        <family val="1"/>
        <charset val="2"/>
      </rPr>
      <t>a</t>
    </r>
  </si>
  <si>
    <t>BM &lt; 150</t>
  </si>
  <si>
    <t>LC &lt; 600</t>
  </si>
  <si>
    <t>Kh = 1 si BM &gt; 150</t>
  </si>
  <si>
    <t>Kh = 1 si LC &gt; 600</t>
  </si>
  <si>
    <t>BM</t>
  </si>
  <si>
    <t>LC</t>
  </si>
  <si>
    <t>H mm</t>
  </si>
  <si>
    <t>Kh</t>
  </si>
  <si>
    <r>
      <t>Tableau 1.10 - Coefficient K</t>
    </r>
    <r>
      <rPr>
        <i/>
        <vertAlign val="subscript"/>
        <sz val="10"/>
        <rFont val="Arial"/>
        <family val="2"/>
      </rPr>
      <t>h</t>
    </r>
    <r>
      <rPr>
        <i/>
        <sz val="10"/>
        <rFont val="Arial"/>
        <family val="2"/>
      </rPr>
      <t xml:space="preserve"> pour BM</t>
    </r>
  </si>
  <si>
    <r>
      <t>K</t>
    </r>
    <r>
      <rPr>
        <b/>
        <vertAlign val="subscript"/>
        <sz val="10"/>
        <rFont val="Arial"/>
        <family val="2"/>
      </rPr>
      <t>h</t>
    </r>
  </si>
  <si>
    <r>
      <t>Tableau 1.11 Coefficient K</t>
    </r>
    <r>
      <rPr>
        <i/>
        <vertAlign val="subscript"/>
        <sz val="10"/>
        <rFont val="Arial"/>
        <family val="2"/>
      </rPr>
      <t>h</t>
    </r>
    <r>
      <rPr>
        <i/>
        <sz val="10"/>
        <rFont val="Arial"/>
        <family val="2"/>
      </rPr>
      <t xml:space="preserve"> pour LC</t>
    </r>
  </si>
  <si>
    <t>Coefficient de hauteur Kh (flexion et traction)</t>
  </si>
  <si>
    <t>haut</t>
  </si>
  <si>
    <t>ATTENTION, VALEUR POUR 1 PLAN CISAILLE</t>
  </si>
  <si>
    <t>Kn</t>
  </si>
  <si>
    <t>bas</t>
  </si>
  <si>
    <t>i</t>
  </si>
  <si>
    <t>Hauteur totale de la poutre</t>
  </si>
  <si>
    <t>x</t>
  </si>
  <si>
    <t>rapport he/h</t>
  </si>
  <si>
    <t>Kv</t>
  </si>
  <si>
    <t>Kv entailles poutres</t>
  </si>
  <si>
    <t>L effective</t>
  </si>
  <si>
    <t>N/mm²</t>
  </si>
  <si>
    <t>Kcrit</t>
  </si>
  <si>
    <t>r</t>
  </si>
  <si>
    <t>hap/r</t>
  </si>
  <si>
    <t>(hap/r)^2</t>
  </si>
  <si>
    <t>(hap/r)^3</t>
  </si>
  <si>
    <t>k1</t>
  </si>
  <si>
    <t>k2</t>
  </si>
  <si>
    <t>k3</t>
  </si>
  <si>
    <t>k4</t>
  </si>
  <si>
    <t>k5</t>
  </si>
  <si>
    <t>k6</t>
  </si>
  <si>
    <t>k7</t>
  </si>
  <si>
    <t>kl</t>
  </si>
  <si>
    <t>t, ep lamelle</t>
  </si>
  <si>
    <t>kr</t>
  </si>
  <si>
    <t>m</t>
  </si>
  <si>
    <t>rin/t</t>
  </si>
  <si>
    <t>kp</t>
  </si>
  <si>
    <t>r int</t>
  </si>
  <si>
    <t>h ap</t>
  </si>
  <si>
    <r>
      <t xml:space="preserve">Valeurs de Kcrit déversement selon </t>
    </r>
    <r>
      <rPr>
        <i/>
        <sz val="10"/>
        <rFont val="Symbol"/>
        <family val="1"/>
        <charset val="2"/>
      </rPr>
      <t>l</t>
    </r>
    <r>
      <rPr>
        <i/>
        <sz val="10"/>
        <rFont val="Arial"/>
        <family val="2"/>
      </rPr>
      <t>réel</t>
    </r>
  </si>
  <si>
    <r>
      <t>E</t>
    </r>
    <r>
      <rPr>
        <vertAlign val="subscript"/>
        <sz val="10"/>
        <rFont val="Arial"/>
        <family val="2"/>
      </rPr>
      <t>0.05</t>
    </r>
  </si>
  <si>
    <r>
      <t>f</t>
    </r>
    <r>
      <rPr>
        <vertAlign val="subscript"/>
        <sz val="14"/>
        <rFont val="Arial"/>
        <family val="2"/>
      </rPr>
      <t>m,k</t>
    </r>
  </si>
  <si>
    <r>
      <t>s</t>
    </r>
    <r>
      <rPr>
        <vertAlign val="subscript"/>
        <sz val="14"/>
        <rFont val="Arial"/>
        <family val="2"/>
      </rPr>
      <t>m,crit</t>
    </r>
  </si>
  <si>
    <r>
      <t>l</t>
    </r>
    <r>
      <rPr>
        <vertAlign val="subscript"/>
        <sz val="14"/>
        <rFont val="Arial"/>
        <family val="2"/>
      </rPr>
      <t>réel,m</t>
    </r>
  </si>
  <si>
    <r>
      <t>K</t>
    </r>
    <r>
      <rPr>
        <vertAlign val="subscript"/>
        <sz val="14"/>
        <rFont val="Arial"/>
        <family val="2"/>
      </rPr>
      <t>crit</t>
    </r>
  </si>
  <si>
    <r>
      <t xml:space="preserve">pour </t>
    </r>
    <r>
      <rPr>
        <sz val="10"/>
        <rFont val="Symbol"/>
        <family val="1"/>
        <charset val="2"/>
      </rPr>
      <t>l</t>
    </r>
    <r>
      <rPr>
        <sz val="10"/>
        <rFont val="Arial"/>
      </rPr>
      <t>réel = 1,35 Kcrit = 0.55</t>
    </r>
  </si>
  <si>
    <t>Kcrit Déversement en flexion</t>
  </si>
  <si>
    <t>profondeur d'enfoncement mini (6ø)</t>
  </si>
  <si>
    <t>Coefficient de hauteur Kh en flexion et en traction</t>
  </si>
  <si>
    <t>Coefficient de déversement en flexion Kcrit</t>
  </si>
  <si>
    <t>RETOUR MENU</t>
  </si>
  <si>
    <t>Coefficient pour les entailles de poutres Kv</t>
  </si>
  <si>
    <t>Coefficients pour poutres à IV ou Courbes kl, kv, kp</t>
  </si>
  <si>
    <t xml:space="preserve">VERIFICATIONS DES ASSEMBLAGES </t>
  </si>
  <si>
    <r>
      <t xml:space="preserve">Ep bois </t>
    </r>
    <r>
      <rPr>
        <b/>
        <sz val="10"/>
        <rFont val="Arial"/>
        <family val="2"/>
      </rPr>
      <t>t1</t>
    </r>
    <r>
      <rPr>
        <sz val="10"/>
        <rFont val="Arial"/>
      </rPr>
      <t xml:space="preserve"> (- forte ep ou pièce latérale)</t>
    </r>
  </si>
  <si>
    <r>
      <t xml:space="preserve">Ep bois </t>
    </r>
    <r>
      <rPr>
        <b/>
        <sz val="10"/>
        <rFont val="Arial"/>
        <family val="2"/>
      </rPr>
      <t>t2</t>
    </r>
    <r>
      <rPr>
        <sz val="10"/>
        <rFont val="Arial"/>
      </rPr>
      <t xml:space="preserve"> (+ forte ep ou pièce centrale)</t>
    </r>
  </si>
  <si>
    <t>ø pointe</t>
  </si>
  <si>
    <t>Sans avant trous</t>
  </si>
  <si>
    <t>Avec avant trous</t>
  </si>
  <si>
    <r>
      <t>r</t>
    </r>
    <r>
      <rPr>
        <sz val="8"/>
        <rFont val="Arial"/>
        <family val="2"/>
      </rPr>
      <t>k≤420 kg/m3</t>
    </r>
  </si>
  <si>
    <r>
      <t xml:space="preserve">Angle </t>
    </r>
    <r>
      <rPr>
        <b/>
        <sz val="11"/>
        <rFont val="Symbol"/>
        <family val="1"/>
        <charset val="2"/>
      </rPr>
      <t>a</t>
    </r>
  </si>
  <si>
    <r>
      <t>r</t>
    </r>
    <r>
      <rPr>
        <sz val="8"/>
        <rFont val="Arial"/>
        <family val="2"/>
      </rPr>
      <t>k&gt;420 kg/m3</t>
    </r>
  </si>
  <si>
    <t>Perçage avant-trous (O, oui ; N, non)</t>
  </si>
  <si>
    <t xml:space="preserve">Indiquer la lettre O, N </t>
  </si>
  <si>
    <t>O ou N</t>
  </si>
  <si>
    <t>Moment plastique de la pointe</t>
  </si>
  <si>
    <r>
      <t>Résineux "</t>
    </r>
    <r>
      <rPr>
        <sz val="12"/>
        <rFont val="Arial"/>
        <family val="2"/>
      </rPr>
      <t>R</t>
    </r>
    <r>
      <rPr>
        <sz val="10"/>
        <rFont val="Arial"/>
      </rPr>
      <t>" Feuillus "</t>
    </r>
    <r>
      <rPr>
        <sz val="12"/>
        <rFont val="Arial"/>
        <family val="2"/>
      </rPr>
      <t>F</t>
    </r>
    <r>
      <rPr>
        <sz val="10"/>
        <rFont val="Arial"/>
      </rPr>
      <t>"</t>
    </r>
  </si>
  <si>
    <t>Arrachement pointe lisse</t>
  </si>
  <si>
    <t>f1</t>
  </si>
  <si>
    <t>f2</t>
  </si>
  <si>
    <t>f1dl</t>
  </si>
  <si>
    <t>f1dh</t>
  </si>
  <si>
    <t>f2d²</t>
  </si>
  <si>
    <t>f1dh+f2d²</t>
  </si>
  <si>
    <t>Arrachement pointe torsadée ou crantée</t>
  </si>
  <si>
    <t>sans avant trou</t>
  </si>
  <si>
    <t>7d</t>
  </si>
  <si>
    <t>13d-30 x rho/400</t>
  </si>
  <si>
    <r>
      <t xml:space="preserve">Masse volumique  </t>
    </r>
    <r>
      <rPr>
        <b/>
        <sz val="12"/>
        <rFont val="Symbol"/>
        <family val="1"/>
        <charset val="2"/>
      </rPr>
      <t>r</t>
    </r>
    <r>
      <rPr>
        <sz val="10"/>
        <rFont val="Arial"/>
      </rPr>
      <t>k du panneau</t>
    </r>
  </si>
  <si>
    <r>
      <t xml:space="preserve"> </t>
    </r>
    <r>
      <rPr>
        <sz val="14"/>
        <rFont val="Symbol"/>
        <family val="1"/>
        <charset val="2"/>
      </rPr>
      <t>r</t>
    </r>
    <r>
      <rPr>
        <sz val="10"/>
        <rFont val="Arial"/>
      </rPr>
      <t>k panneau</t>
    </r>
  </si>
  <si>
    <r>
      <t xml:space="preserve"> </t>
    </r>
    <r>
      <rPr>
        <sz val="14"/>
        <rFont val="Symbol"/>
        <family val="1"/>
        <charset val="2"/>
      </rPr>
      <t>r</t>
    </r>
    <r>
      <rPr>
        <sz val="10"/>
        <rFont val="Arial"/>
      </rPr>
      <t>k bois</t>
    </r>
  </si>
  <si>
    <t xml:space="preserve">l mini = 12d pointes lisses, 8d autres pointes </t>
  </si>
  <si>
    <r>
      <t xml:space="preserve">Les coefs Kmod et </t>
    </r>
    <r>
      <rPr>
        <i/>
        <sz val="8"/>
        <rFont val="Symbol"/>
        <family val="1"/>
        <charset val="2"/>
      </rPr>
      <t>g</t>
    </r>
    <r>
      <rPr>
        <i/>
        <sz val="8"/>
        <rFont val="Arial"/>
        <family val="2"/>
      </rPr>
      <t>M</t>
    </r>
    <r>
      <rPr>
        <i/>
        <sz val="8"/>
        <rFont val="Arial"/>
      </rPr>
      <t xml:space="preserve"> sont pris en compte</t>
    </r>
  </si>
  <si>
    <t>BOIS - BOIS</t>
  </si>
  <si>
    <t>BOIS - CP</t>
  </si>
  <si>
    <r>
      <t xml:space="preserve">Diamétre de la pointe ( </t>
    </r>
    <r>
      <rPr>
        <sz val="10"/>
        <rFont val="Arial"/>
        <family val="2"/>
      </rPr>
      <t>≤ à 8 mm)</t>
    </r>
  </si>
  <si>
    <r>
      <t xml:space="preserve">Ep </t>
    </r>
    <r>
      <rPr>
        <b/>
        <sz val="10"/>
        <rFont val="Arial"/>
        <family val="2"/>
      </rPr>
      <t>t1</t>
    </r>
    <r>
      <rPr>
        <sz val="10"/>
        <rFont val="Arial"/>
      </rPr>
      <t xml:space="preserve"> (X1 cis. : ep sous tête ; X2 cis. : enfoncement fin)</t>
    </r>
  </si>
  <si>
    <r>
      <t xml:space="preserve">Ep </t>
    </r>
    <r>
      <rPr>
        <b/>
        <sz val="10"/>
        <rFont val="Arial"/>
        <family val="2"/>
      </rPr>
      <t>t2</t>
    </r>
    <r>
      <rPr>
        <sz val="10"/>
        <rFont val="Arial"/>
      </rPr>
      <t xml:space="preserve"> (X1 cis. : enfoncement, X2 cis. : ep pièce centrale)</t>
    </r>
  </si>
  <si>
    <t>Enfoncement de la pointe (pour calcul arrachement)</t>
  </si>
  <si>
    <r>
      <t>t</t>
    </r>
    <r>
      <rPr>
        <sz val="12"/>
        <rFont val="Arial"/>
        <family val="2"/>
      </rPr>
      <t xml:space="preserve"> </t>
    </r>
    <r>
      <rPr>
        <sz val="10"/>
        <rFont val="Arial"/>
        <family val="2"/>
      </rPr>
      <t xml:space="preserve">(ep des bois) minimum pour clouage </t>
    </r>
  </si>
  <si>
    <r>
      <t xml:space="preserve">Ep </t>
    </r>
    <r>
      <rPr>
        <b/>
        <sz val="10"/>
        <rFont val="Arial"/>
        <family val="2"/>
      </rPr>
      <t>t1 Panneau</t>
    </r>
    <r>
      <rPr>
        <sz val="10"/>
        <rFont val="Arial"/>
      </rPr>
      <t xml:space="preserve"> (X1 cis. : ep sous tête ; X2 cis. : enfoncement fin)</t>
    </r>
  </si>
  <si>
    <r>
      <t>t</t>
    </r>
    <r>
      <rPr>
        <sz val="10"/>
        <rFont val="Arial"/>
        <family val="2"/>
      </rPr>
      <t xml:space="preserve"> minimum (ep bois) pour clouage </t>
    </r>
  </si>
  <si>
    <t>Diamètre du tire-fonds</t>
  </si>
  <si>
    <t>Enfoncement fileté du tire-fonds du côté de la pointe</t>
  </si>
  <si>
    <t>Diamétre de l'anneau</t>
  </si>
  <si>
    <t>Résistance pour un anneau et par plan de cisaillement</t>
  </si>
  <si>
    <t>alpha t1</t>
  </si>
  <si>
    <t>alpha t2</t>
  </si>
  <si>
    <t>k90sin²+cos²</t>
  </si>
  <si>
    <t>Max</t>
  </si>
  <si>
    <t>a3/2d</t>
  </si>
  <si>
    <t>rho/350</t>
  </si>
  <si>
    <t>Rc0k</t>
  </si>
  <si>
    <t>Rcak</t>
  </si>
  <si>
    <t>Nb d'anneaux en lignes</t>
  </si>
  <si>
    <t>nb</t>
  </si>
  <si>
    <t>nef</t>
  </si>
  <si>
    <t>dc</t>
  </si>
  <si>
    <t>db</t>
  </si>
  <si>
    <t>comp</t>
  </si>
  <si>
    <t>tract</t>
  </si>
  <si>
    <t>autres</t>
  </si>
  <si>
    <t>RESISTANCE A LA COMPRESSION AXIALE DES POTEAUX RECONSTITUES</t>
  </si>
  <si>
    <t>Hauteur poteau (h)</t>
  </si>
  <si>
    <t>Largeur poteau (b)</t>
  </si>
  <si>
    <t>Hauteur moise (h)</t>
  </si>
  <si>
    <t>Largeur moise (b)</t>
  </si>
  <si>
    <t>MATERIAU</t>
  </si>
  <si>
    <t>LVL</t>
  </si>
  <si>
    <t>SOLIVAGE</t>
  </si>
  <si>
    <t>TYPE DE STRUCTURE</t>
  </si>
  <si>
    <t>TOITURE ALT &lt; 1000M</t>
  </si>
  <si>
    <t>TOITURE ALT &gt; 1000M</t>
  </si>
  <si>
    <t>kmod</t>
  </si>
  <si>
    <t>C3</t>
  </si>
  <si>
    <r>
      <t>ASSEMBLAGES PAR BOULONS OU PAR BROCHES</t>
    </r>
    <r>
      <rPr>
        <sz val="14"/>
        <color indexed="10"/>
        <rFont val="Arial Black"/>
        <family val="2"/>
      </rPr>
      <t xml:space="preserve"> BOIS / BOIS</t>
    </r>
  </si>
  <si>
    <t>O</t>
  </si>
  <si>
    <t>s</t>
  </si>
  <si>
    <t>a3t mini mm</t>
  </si>
  <si>
    <t>l1</t>
  </si>
  <si>
    <r>
      <t>K</t>
    </r>
    <r>
      <rPr>
        <b/>
        <vertAlign val="subscript"/>
        <sz val="20"/>
        <color indexed="10"/>
        <rFont val="Arial"/>
        <family val="2"/>
      </rPr>
      <t>c,y</t>
    </r>
    <r>
      <rPr>
        <b/>
        <sz val="20"/>
        <color indexed="10"/>
        <rFont val="Arial"/>
        <family val="2"/>
      </rPr>
      <t xml:space="preserve"> Coef de flambement poteaux moisés doubles</t>
    </r>
  </si>
  <si>
    <t>b (ep une moise)</t>
  </si>
  <si>
    <t>Distance entre moise</t>
  </si>
  <si>
    <t>collage</t>
  </si>
  <si>
    <t>pointes</t>
  </si>
  <si>
    <t>boulons</t>
  </si>
  <si>
    <t>% chargement PERMANENT / TOTAL</t>
  </si>
  <si>
    <t>Type de fixation fourrures sur moises</t>
  </si>
  <si>
    <t>Distance de fixation fourrures sur moise L1</t>
  </si>
  <si>
    <t>Facteur n</t>
  </si>
  <si>
    <t>Lambda 1</t>
  </si>
  <si>
    <t xml:space="preserve">Lambda </t>
  </si>
  <si>
    <t>Lambda efficace</t>
  </si>
  <si>
    <t>LF dans plan // aux moises</t>
  </si>
  <si>
    <r>
      <t xml:space="preserve">LF dans plan </t>
    </r>
    <r>
      <rPr>
        <sz val="10"/>
        <rFont val="Arial"/>
        <family val="2"/>
      </rPr>
      <t>┴</t>
    </r>
    <r>
      <rPr>
        <sz val="10"/>
        <rFont val="Arial"/>
      </rPr>
      <t xml:space="preserve"> aux moises</t>
    </r>
  </si>
  <si>
    <t>lambda relatif</t>
  </si>
  <si>
    <t>RESULTATS dans plan ┴ aux moises</t>
  </si>
  <si>
    <t>RESULTATS dans plan // aux moises</t>
  </si>
  <si>
    <t>surface</t>
  </si>
  <si>
    <t>inertie</t>
  </si>
  <si>
    <t>I max //</t>
  </si>
  <si>
    <t xml:space="preserve">             POUR INFO</t>
  </si>
  <si>
    <r>
      <t>K</t>
    </r>
    <r>
      <rPr>
        <vertAlign val="subscript"/>
        <sz val="18"/>
        <rFont val="Arial"/>
      </rPr>
      <t>c,y</t>
    </r>
  </si>
  <si>
    <t>Kcy</t>
  </si>
  <si>
    <t>METHODE P113 COURS</t>
  </si>
  <si>
    <t>Coefficient de flambement poteaux avec deux moises</t>
  </si>
  <si>
    <t>ø tirefonds (ø &gt; 6mm)</t>
  </si>
  <si>
    <r>
      <t xml:space="preserve">ø tirefonds (ø </t>
    </r>
    <r>
      <rPr>
        <b/>
        <sz val="12"/>
        <rFont val="Arial"/>
        <family val="2"/>
      </rPr>
      <t>≤</t>
    </r>
    <r>
      <rPr>
        <b/>
        <sz val="12"/>
        <rFont val="Verdana"/>
        <family val="2"/>
      </rPr>
      <t xml:space="preserve"> 6mm)</t>
    </r>
  </si>
  <si>
    <t xml:space="preserve">a </t>
  </si>
  <si>
    <t>a4</t>
  </si>
  <si>
    <t>Positionnement des tirefonds cisaillement</t>
  </si>
  <si>
    <t>rk</t>
  </si>
  <si>
    <t>1,2cos²+sin²</t>
  </si>
  <si>
    <t>kd</t>
  </si>
  <si>
    <t>Angle vis par rapport au fil du bois (généralement 90°)</t>
  </si>
  <si>
    <t>ARRACHEMENT VIS</t>
  </si>
  <si>
    <t>EFFORT SUR UN ASSEMBLEUR</t>
  </si>
  <si>
    <t>EFFORT DE COMPRESSION POTEAU</t>
  </si>
  <si>
    <t xml:space="preserve">EFFORT SUR UN ASSEMBLEUR </t>
  </si>
  <si>
    <t>lambda &lt; 30</t>
  </si>
  <si>
    <t>entre 30 et 60</t>
  </si>
  <si>
    <t>lambda &gt; 60</t>
  </si>
  <si>
    <t>T</t>
  </si>
  <si>
    <t>EFFORT TRANCHANT FOURRURE</t>
  </si>
  <si>
    <t>lambda 1</t>
  </si>
  <si>
    <r>
      <t xml:space="preserve">Résistance à la compression axiale sur poteaux composés </t>
    </r>
    <r>
      <rPr>
        <b/>
        <u/>
        <sz val="11"/>
        <color indexed="52"/>
        <rFont val="Verdana"/>
        <family val="2"/>
      </rPr>
      <t>VOIR COACH FUTE</t>
    </r>
  </si>
  <si>
    <t>C24 (350 kg/m3)</t>
  </si>
  <si>
    <t>ø16</t>
  </si>
  <si>
    <t>ø18</t>
  </si>
  <si>
    <t>ø20</t>
  </si>
  <si>
    <t>ø22</t>
  </si>
  <si>
    <t>GL24</t>
  </si>
  <si>
    <t xml:space="preserve">Coef de passage </t>
  </si>
  <si>
    <t>S* neige compatible avec le vent : Si,Sii et Siii si alt &lt;500 m. Sii, Siii si alt &gt; 500m</t>
  </si>
  <si>
    <t xml:space="preserve">S* neige compatible avec le vent : Si incompatible avec vent si alt &lt;500 m. </t>
  </si>
  <si>
    <t>FLEXION  + COMPRESSION</t>
  </si>
  <si>
    <r>
      <t xml:space="preserve">Valeur de </t>
    </r>
    <r>
      <rPr>
        <b/>
        <sz val="10"/>
        <rFont val="Symbol"/>
        <family val="1"/>
        <charset val="2"/>
      </rPr>
      <t>l</t>
    </r>
    <r>
      <rPr>
        <b/>
        <sz val="10"/>
        <rFont val="Arial"/>
      </rPr>
      <t>rel</t>
    </r>
  </si>
  <si>
    <t>AXE FORT</t>
  </si>
  <si>
    <t>AXE FAIBLE</t>
  </si>
  <si>
    <t>Largeur poutre (be)</t>
  </si>
  <si>
    <t>Flambement selon axe faible</t>
  </si>
  <si>
    <t>Flambement selon axe fort</t>
  </si>
  <si>
    <t>VERIFICATIONS PARTIES INSTABLES</t>
  </si>
  <si>
    <r>
      <t xml:space="preserve">(*) Puissance 2 si élancement </t>
    </r>
    <r>
      <rPr>
        <b/>
        <sz val="10"/>
        <color indexed="10"/>
        <rFont val="Symbol"/>
        <family val="1"/>
        <charset val="2"/>
      </rPr>
      <t>l</t>
    </r>
    <r>
      <rPr>
        <b/>
        <sz val="10"/>
        <color indexed="10"/>
        <rFont val="Arial"/>
        <family val="2"/>
      </rPr>
      <t>rel&lt; 0.3, sinon  puissance 1</t>
    </r>
  </si>
  <si>
    <r>
      <t>K</t>
    </r>
    <r>
      <rPr>
        <vertAlign val="subscript"/>
        <sz val="14"/>
        <rFont val="Arial"/>
        <family val="2"/>
      </rPr>
      <t xml:space="preserve">c,y </t>
    </r>
    <r>
      <rPr>
        <sz val="14"/>
        <rFont val="Arial"/>
        <family val="2"/>
      </rPr>
      <t>mini</t>
    </r>
  </si>
  <si>
    <r>
      <t>K</t>
    </r>
    <r>
      <rPr>
        <b/>
        <i/>
        <vertAlign val="subscript"/>
        <sz val="10"/>
        <rFont val="Arial"/>
        <family val="2"/>
      </rPr>
      <t xml:space="preserve">c,y </t>
    </r>
    <r>
      <rPr>
        <b/>
        <i/>
        <sz val="10"/>
        <rFont val="Arial"/>
        <family val="2"/>
      </rPr>
      <t>AXE FORT</t>
    </r>
  </si>
  <si>
    <r>
      <t>K</t>
    </r>
    <r>
      <rPr>
        <b/>
        <i/>
        <vertAlign val="subscript"/>
        <sz val="10"/>
        <rFont val="Arial"/>
        <family val="2"/>
      </rPr>
      <t xml:space="preserve">c,y </t>
    </r>
    <r>
      <rPr>
        <b/>
        <i/>
        <sz val="10"/>
        <rFont val="Arial"/>
        <family val="2"/>
      </rPr>
      <t>AXE FAIBLE</t>
    </r>
  </si>
  <si>
    <t xml:space="preserve">VERIFICATIONS PARTIES STABLES </t>
  </si>
  <si>
    <t xml:space="preserve">L'élancement est de </t>
  </si>
  <si>
    <r>
      <t>Sollicitations composées</t>
    </r>
    <r>
      <rPr>
        <sz val="11"/>
        <color indexed="20"/>
        <rFont val="Verdana"/>
        <family val="2"/>
      </rPr>
      <t xml:space="preserve"> : flexion (Mfy, MFz) + compression (</t>
    </r>
    <r>
      <rPr>
        <b/>
        <sz val="9"/>
        <color indexed="20"/>
        <rFont val="Verdana"/>
        <family val="2"/>
      </rPr>
      <t xml:space="preserve">POTEAU </t>
    </r>
    <r>
      <rPr>
        <b/>
        <sz val="8"/>
        <color indexed="20"/>
        <rFont val="Verdana"/>
        <family val="2"/>
      </rPr>
      <t>Comprimé et fléchi</t>
    </r>
    <r>
      <rPr>
        <b/>
        <sz val="9"/>
        <color indexed="20"/>
        <rFont val="Verdana"/>
        <family val="2"/>
      </rPr>
      <t>)</t>
    </r>
    <r>
      <rPr>
        <sz val="11"/>
        <color indexed="20"/>
        <rFont val="Verdana"/>
        <family val="2"/>
      </rPr>
      <t xml:space="preserve"> </t>
    </r>
  </si>
  <si>
    <t>35a</t>
  </si>
  <si>
    <t xml:space="preserve">Sollicitations composées : flexion (Mfy, MFz) + compression (PANNE déversée comprimée et fléchie) </t>
  </si>
  <si>
    <t>FLEXION  + TRACTION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</si>
</sst>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0.00\ &quot;€&quot;;[Red]\-#,##0.00\ &quot;€&quot;"/>
    <numFmt numFmtId="164" formatCode="0.0"/>
    <numFmt numFmtId="165" formatCode="0.0000"/>
    <numFmt numFmtId="174" formatCode="0.000"/>
    <numFmt numFmtId="178" formatCode="0.0000000000000000"/>
    <numFmt numFmtId="184" formatCode="0.0%"/>
  </numFmts>
  <fonts count="284">
    <font>
      <sz val="10"/>
      <name val="Arial"/>
    </font>
    <font>
      <sz val="10"/>
      <name val="Arial"/>
    </font>
    <font>
      <sz val="8"/>
      <name val="Arial"/>
    </font>
    <font>
      <sz val="14"/>
      <name val="Arial"/>
    </font>
    <font>
      <sz val="10"/>
      <name val="Arial"/>
      <family val="2"/>
    </font>
    <font>
      <sz val="14"/>
      <name val="Symbol"/>
      <family val="1"/>
      <charset val="2"/>
    </font>
    <font>
      <sz val="14"/>
      <name val="Arial"/>
      <family val="2"/>
    </font>
    <font>
      <b/>
      <sz val="12"/>
      <name val="Arial"/>
      <family val="2"/>
    </font>
    <font>
      <sz val="10"/>
      <name val="Symbol"/>
      <family val="1"/>
      <charset val="2"/>
    </font>
    <font>
      <i/>
      <sz val="10"/>
      <name val="Arial"/>
      <family val="2"/>
    </font>
    <font>
      <b/>
      <sz val="10"/>
      <name val="Arial"/>
      <family val="2"/>
    </font>
    <font>
      <b/>
      <sz val="14"/>
      <name val="Arial"/>
      <family val="2"/>
    </font>
    <font>
      <sz val="11"/>
      <name val="Arial"/>
    </font>
    <font>
      <sz val="14"/>
      <color indexed="10"/>
      <name val="Arial Black"/>
      <family val="2"/>
    </font>
    <font>
      <b/>
      <sz val="11"/>
      <color indexed="10"/>
      <name val="Arial"/>
      <family val="2"/>
    </font>
    <font>
      <sz val="9"/>
      <name val="Arial"/>
      <family val="2"/>
    </font>
    <font>
      <b/>
      <i/>
      <sz val="8"/>
      <name val="Arial"/>
    </font>
    <font>
      <b/>
      <i/>
      <sz val="8"/>
      <name val="Symbol"/>
      <family val="1"/>
      <charset val="2"/>
    </font>
    <font>
      <b/>
      <i/>
      <sz val="8"/>
      <name val="Arial"/>
      <family val="2"/>
    </font>
    <font>
      <b/>
      <sz val="11"/>
      <name val="Arial"/>
      <family val="2"/>
    </font>
    <font>
      <sz val="8"/>
      <name val="Arial"/>
      <family val="2"/>
    </font>
    <font>
      <sz val="11"/>
      <color indexed="10"/>
      <name val="Arial Black"/>
      <family val="2"/>
    </font>
    <font>
      <b/>
      <vertAlign val="subscript"/>
      <sz val="12"/>
      <name val="Arial"/>
      <family val="2"/>
    </font>
    <font>
      <b/>
      <i/>
      <sz val="10"/>
      <name val="Arial"/>
      <family val="2"/>
    </font>
    <font>
      <b/>
      <sz val="10"/>
      <name val="Arial"/>
    </font>
    <font>
      <b/>
      <sz val="14"/>
      <name val="Symbol"/>
      <family val="1"/>
      <charset val="2"/>
    </font>
    <font>
      <b/>
      <sz val="8"/>
      <name val="Arial"/>
      <family val="2"/>
    </font>
    <font>
      <sz val="9"/>
      <color indexed="10"/>
      <name val="Arial Black"/>
      <family val="2"/>
    </font>
    <font>
      <sz val="16"/>
      <name val="Arial"/>
    </font>
    <font>
      <vertAlign val="subscript"/>
      <sz val="16"/>
      <name val="Arial"/>
    </font>
    <font>
      <sz val="16"/>
      <name val="Symbol"/>
      <family val="1"/>
      <charset val="2"/>
    </font>
    <font>
      <vertAlign val="subscript"/>
      <sz val="16"/>
      <name val="Symbol"/>
      <family val="1"/>
      <charset val="2"/>
    </font>
    <font>
      <sz val="14"/>
      <color indexed="10"/>
      <name val="Symbol"/>
      <family val="1"/>
      <charset val="2"/>
    </font>
    <font>
      <b/>
      <sz val="20"/>
      <color indexed="10"/>
      <name val="Symbol"/>
      <family val="1"/>
      <charset val="2"/>
    </font>
    <font>
      <i/>
      <vertAlign val="subscript"/>
      <sz val="10"/>
      <name val="Arial"/>
      <family val="2"/>
    </font>
    <font>
      <b/>
      <vertAlign val="subscript"/>
      <sz val="10"/>
      <name val="Arial"/>
      <family val="2"/>
    </font>
    <font>
      <i/>
      <sz val="11"/>
      <name val="Arial"/>
      <family val="2"/>
    </font>
    <font>
      <b/>
      <sz val="10"/>
      <name val="Symbol"/>
      <family val="1"/>
      <charset val="2"/>
    </font>
    <font>
      <u/>
      <sz val="10"/>
      <color indexed="12"/>
      <name val="Arial"/>
    </font>
    <font>
      <i/>
      <sz val="10"/>
      <name val="Symbol"/>
      <family val="1"/>
      <charset val="2"/>
    </font>
    <font>
      <b/>
      <i/>
      <sz val="9"/>
      <name val="Arial"/>
      <family val="2"/>
    </font>
    <font>
      <vertAlign val="subscript"/>
      <sz val="10"/>
      <name val="Arial"/>
      <family val="2"/>
    </font>
    <font>
      <vertAlign val="subscript"/>
      <sz val="14"/>
      <name val="Arial"/>
      <family val="2"/>
    </font>
    <font>
      <b/>
      <sz val="20"/>
      <color indexed="10"/>
      <name val="Arial"/>
      <family val="2"/>
    </font>
    <font>
      <sz val="20"/>
      <color indexed="10"/>
      <name val="Arial"/>
      <family val="2"/>
    </font>
    <font>
      <sz val="10"/>
      <color indexed="10"/>
      <name val="Arial"/>
      <family val="2"/>
    </font>
    <font>
      <b/>
      <sz val="10"/>
      <name val="Verdana"/>
      <family val="2"/>
    </font>
    <font>
      <b/>
      <sz val="14"/>
      <name val="Verdana"/>
      <family val="2"/>
    </font>
    <font>
      <sz val="14"/>
      <name val="Verdana"/>
      <family val="2"/>
    </font>
    <font>
      <b/>
      <sz val="16"/>
      <color indexed="10"/>
      <name val="Verdana"/>
      <family val="2"/>
    </font>
    <font>
      <sz val="14"/>
      <color indexed="10"/>
      <name val="Verdana"/>
      <family val="2"/>
    </font>
    <font>
      <b/>
      <sz val="12"/>
      <name val="Symbol"/>
      <family val="1"/>
      <charset val="2"/>
    </font>
    <font>
      <b/>
      <sz val="11"/>
      <name val="Symbol"/>
      <family val="1"/>
      <charset val="2"/>
    </font>
    <font>
      <sz val="12"/>
      <name val="Arial"/>
      <family val="2"/>
    </font>
    <font>
      <sz val="12"/>
      <color indexed="10"/>
      <name val="Arial Black"/>
      <family val="2"/>
    </font>
    <font>
      <sz val="12"/>
      <name val="Arial"/>
    </font>
    <font>
      <b/>
      <sz val="11"/>
      <color indexed="8"/>
      <name val="Arial"/>
      <family val="2"/>
    </font>
    <font>
      <sz val="10"/>
      <color indexed="8"/>
      <name val="Arial"/>
    </font>
    <font>
      <b/>
      <sz val="10"/>
      <color indexed="8"/>
      <name val="Arial"/>
      <family val="2"/>
    </font>
    <font>
      <i/>
      <sz val="8"/>
      <name val="Arial"/>
    </font>
    <font>
      <i/>
      <sz val="8"/>
      <name val="Symbol"/>
      <family val="1"/>
      <charset val="2"/>
    </font>
    <font>
      <i/>
      <sz val="8"/>
      <name val="Arial"/>
      <family val="2"/>
    </font>
    <font>
      <b/>
      <sz val="9"/>
      <color indexed="10"/>
      <name val="Arial"/>
      <family val="2"/>
    </font>
    <font>
      <sz val="11"/>
      <name val="Arial"/>
      <family val="2"/>
    </font>
    <font>
      <sz val="12"/>
      <name val="Verdana"/>
      <family val="2"/>
    </font>
    <font>
      <b/>
      <sz val="12"/>
      <color indexed="8"/>
      <name val="Verdana"/>
      <family val="2"/>
    </font>
    <font>
      <b/>
      <sz val="14"/>
      <color indexed="10"/>
      <name val="Verdana"/>
      <family val="2"/>
    </font>
    <font>
      <i/>
      <sz val="9"/>
      <name val="Arial"/>
      <family val="2"/>
    </font>
    <font>
      <b/>
      <sz val="12"/>
      <name val="Verdana"/>
      <family val="2"/>
    </font>
    <font>
      <b/>
      <sz val="8"/>
      <name val="Arial"/>
    </font>
    <font>
      <b/>
      <sz val="8"/>
      <name val="Symbol"/>
      <family val="1"/>
      <charset val="2"/>
    </font>
    <font>
      <b/>
      <i/>
      <sz val="12"/>
      <name val="Arial"/>
      <family val="2"/>
    </font>
    <font>
      <b/>
      <sz val="16"/>
      <color indexed="10"/>
      <name val="Arial"/>
      <family val="2"/>
    </font>
    <font>
      <sz val="16"/>
      <color indexed="10"/>
      <name val="Arial"/>
      <family val="2"/>
    </font>
    <font>
      <sz val="9"/>
      <name val="Arial"/>
    </font>
    <font>
      <b/>
      <sz val="9"/>
      <name val="Arial"/>
      <family val="2"/>
    </font>
    <font>
      <sz val="10"/>
      <name val="Verdana"/>
      <family val="2"/>
    </font>
    <font>
      <b/>
      <i/>
      <u/>
      <sz val="12"/>
      <name val="Arial"/>
      <family val="2"/>
    </font>
    <font>
      <b/>
      <vertAlign val="subscript"/>
      <sz val="20"/>
      <color indexed="10"/>
      <name val="Arial"/>
      <family val="2"/>
    </font>
    <font>
      <b/>
      <sz val="14"/>
      <name val="Arial"/>
    </font>
    <font>
      <b/>
      <vertAlign val="subscript"/>
      <sz val="14"/>
      <name val="Arial"/>
    </font>
    <font>
      <b/>
      <vertAlign val="subscript"/>
      <sz val="20"/>
      <color indexed="10"/>
      <name val="Symbol"/>
      <family val="1"/>
      <charset val="2"/>
    </font>
    <font>
      <b/>
      <sz val="11"/>
      <name val="Arial"/>
    </font>
    <font>
      <b/>
      <sz val="16"/>
      <name val="Arial"/>
      <family val="2"/>
    </font>
    <font>
      <b/>
      <vertAlign val="subscript"/>
      <sz val="11"/>
      <name val="Arial"/>
      <family val="2"/>
    </font>
    <font>
      <i/>
      <sz val="8"/>
      <color indexed="10"/>
      <name val="Verdana"/>
      <family val="2"/>
    </font>
    <font>
      <b/>
      <i/>
      <sz val="10"/>
      <color indexed="10"/>
      <name val="Arial"/>
      <family val="2"/>
    </font>
    <font>
      <b/>
      <i/>
      <sz val="10"/>
      <color indexed="10"/>
      <name val="Verdana"/>
      <family val="2"/>
    </font>
    <font>
      <b/>
      <vertAlign val="subscript"/>
      <sz val="12"/>
      <name val="Verdana"/>
      <family val="2"/>
    </font>
    <font>
      <b/>
      <sz val="11"/>
      <name val="Verdana"/>
      <family val="2"/>
    </font>
    <font>
      <b/>
      <vertAlign val="subscript"/>
      <sz val="11"/>
      <name val="Verdana"/>
      <family val="2"/>
    </font>
    <font>
      <b/>
      <sz val="9"/>
      <name val="Arial"/>
    </font>
    <font>
      <b/>
      <sz val="9"/>
      <name val="Symbol"/>
      <family val="1"/>
      <charset val="2"/>
    </font>
    <font>
      <vertAlign val="subscript"/>
      <sz val="11"/>
      <name val="Arial"/>
      <family val="2"/>
    </font>
    <font>
      <sz val="10"/>
      <color indexed="12"/>
      <name val="Verdana"/>
      <family val="2"/>
    </font>
    <font>
      <b/>
      <sz val="10"/>
      <color indexed="12"/>
      <name val="Verdana"/>
      <family val="2"/>
    </font>
    <font>
      <sz val="11"/>
      <color indexed="12"/>
      <name val="Arial"/>
    </font>
    <font>
      <b/>
      <sz val="11"/>
      <color indexed="8"/>
      <name val="Verdana"/>
      <family val="2"/>
    </font>
    <font>
      <sz val="8"/>
      <name val="Verdana"/>
      <family val="2"/>
    </font>
    <font>
      <sz val="9"/>
      <color indexed="12"/>
      <name val="Verdana"/>
      <family val="2"/>
    </font>
    <font>
      <b/>
      <sz val="9"/>
      <name val="Verdana"/>
      <family val="2"/>
    </font>
    <font>
      <b/>
      <sz val="9"/>
      <color indexed="8"/>
      <name val="Verdana"/>
      <family val="2"/>
    </font>
    <font>
      <b/>
      <sz val="12"/>
      <name val="Arial"/>
    </font>
    <font>
      <b/>
      <sz val="14"/>
      <color indexed="10"/>
      <name val="Arial"/>
      <family val="2"/>
    </font>
    <font>
      <b/>
      <vertAlign val="subscript"/>
      <sz val="14"/>
      <color indexed="10"/>
      <name val="Arial"/>
      <family val="2"/>
    </font>
    <font>
      <b/>
      <vertAlign val="subscript"/>
      <sz val="14"/>
      <name val="Arial"/>
      <family val="2"/>
    </font>
    <font>
      <b/>
      <sz val="14"/>
      <color indexed="8"/>
      <name val="Arial"/>
      <family val="2"/>
    </font>
    <font>
      <i/>
      <u/>
      <sz val="10"/>
      <name val="Arial"/>
      <family val="2"/>
    </font>
    <font>
      <b/>
      <i/>
      <u/>
      <sz val="10"/>
      <name val="Arial"/>
      <family val="2"/>
    </font>
    <font>
      <vertAlign val="subscript"/>
      <sz val="12"/>
      <name val="Arial"/>
      <family val="2"/>
    </font>
    <font>
      <sz val="12"/>
      <name val="Symbol"/>
      <family val="1"/>
      <charset val="2"/>
    </font>
    <font>
      <sz val="8"/>
      <color indexed="81"/>
      <name val="Tahoma"/>
    </font>
    <font>
      <b/>
      <sz val="8"/>
      <color indexed="81"/>
      <name val="Tahoma"/>
    </font>
    <font>
      <sz val="8"/>
      <color indexed="81"/>
      <name val="Tahoma"/>
      <family val="2"/>
    </font>
    <font>
      <sz val="14"/>
      <color indexed="63"/>
      <name val="Verdana"/>
      <family val="2"/>
    </font>
    <font>
      <sz val="10"/>
      <color indexed="63"/>
      <name val="Arial"/>
    </font>
    <font>
      <sz val="10"/>
      <color indexed="9"/>
      <name val="Arial"/>
      <family val="2"/>
    </font>
    <font>
      <sz val="16"/>
      <color indexed="9"/>
      <name val="Arial"/>
      <family val="2"/>
    </font>
    <font>
      <b/>
      <sz val="8"/>
      <color indexed="81"/>
      <name val="Tahoma"/>
      <family val="2"/>
    </font>
    <font>
      <b/>
      <sz val="10"/>
      <color indexed="81"/>
      <name val="Tahoma"/>
      <family val="2"/>
    </font>
    <font>
      <b/>
      <sz val="18"/>
      <name val="Arial"/>
      <family val="2"/>
    </font>
    <font>
      <b/>
      <u/>
      <sz val="11"/>
      <name val="Arial"/>
      <family val="2"/>
    </font>
    <font>
      <sz val="11"/>
      <color indexed="12"/>
      <name val="Arial"/>
      <family val="2"/>
    </font>
    <font>
      <sz val="11"/>
      <color indexed="81"/>
      <name val="Tahoma"/>
      <family val="2"/>
    </font>
    <font>
      <vertAlign val="subscript"/>
      <sz val="11"/>
      <color indexed="81"/>
      <name val="Tahoma"/>
      <family val="2"/>
    </font>
    <font>
      <b/>
      <sz val="11"/>
      <color indexed="81"/>
      <name val="Tahoma"/>
      <family val="2"/>
    </font>
    <font>
      <vertAlign val="subscript"/>
      <sz val="14"/>
      <name val="Symbol"/>
      <family val="1"/>
      <charset val="2"/>
    </font>
    <font>
      <vertAlign val="subscript"/>
      <sz val="14"/>
      <name val="Arial"/>
    </font>
    <font>
      <b/>
      <sz val="11"/>
      <color indexed="52"/>
      <name val="Verdana"/>
      <family val="2"/>
    </font>
    <font>
      <b/>
      <sz val="11"/>
      <color indexed="14"/>
      <name val="Verdana"/>
      <family val="2"/>
    </font>
    <font>
      <b/>
      <sz val="14"/>
      <color indexed="8"/>
      <name val="Verdana"/>
      <family val="2"/>
    </font>
    <font>
      <b/>
      <sz val="11"/>
      <color indexed="50"/>
      <name val="Verdana"/>
      <family val="2"/>
    </font>
    <font>
      <b/>
      <sz val="9"/>
      <color indexed="57"/>
      <name val="Verdana"/>
      <family val="2"/>
    </font>
    <font>
      <b/>
      <sz val="11"/>
      <color indexed="10"/>
      <name val="Verdana"/>
      <family val="2"/>
    </font>
    <font>
      <b/>
      <sz val="16"/>
      <color indexed="8"/>
      <name val="Verdana"/>
      <family val="2"/>
    </font>
    <font>
      <sz val="14"/>
      <color indexed="8"/>
      <name val="Verdana"/>
      <family val="2"/>
    </font>
    <font>
      <b/>
      <u/>
      <sz val="10"/>
      <name val="Arial"/>
      <family val="2"/>
    </font>
    <font>
      <b/>
      <sz val="14"/>
      <color indexed="81"/>
      <name val="Tahoma"/>
      <family val="2"/>
    </font>
    <font>
      <sz val="10"/>
      <color indexed="12"/>
      <name val="Arial"/>
      <family val="2"/>
    </font>
    <font>
      <b/>
      <u/>
      <sz val="12"/>
      <name val="Arial"/>
      <family val="2"/>
    </font>
    <font>
      <b/>
      <sz val="12"/>
      <color indexed="10"/>
      <name val="Arial"/>
      <family val="2"/>
    </font>
    <font>
      <sz val="11"/>
      <color indexed="20"/>
      <name val="Verdana"/>
      <family val="2"/>
    </font>
    <font>
      <sz val="10"/>
      <color indexed="81"/>
      <name val="Verdana"/>
      <family val="2"/>
    </font>
    <font>
      <sz val="10"/>
      <color indexed="81"/>
      <name val="Tahoma"/>
      <family val="2"/>
    </font>
    <font>
      <sz val="11"/>
      <color indexed="12"/>
      <name val="Symbol"/>
      <family val="1"/>
      <charset val="2"/>
    </font>
    <font>
      <u/>
      <sz val="9"/>
      <color indexed="12"/>
      <name val="Arial"/>
    </font>
    <font>
      <sz val="9"/>
      <color indexed="12"/>
      <name val="Arial"/>
    </font>
    <font>
      <sz val="10"/>
      <color indexed="12"/>
      <name val="Arial"/>
    </font>
    <font>
      <sz val="10"/>
      <name val="Arial"/>
    </font>
    <font>
      <u/>
      <sz val="11"/>
      <color indexed="12"/>
      <name val="Verdana"/>
      <family val="2"/>
    </font>
    <font>
      <b/>
      <sz val="12"/>
      <color indexed="81"/>
      <name val="Tahoma"/>
      <family val="2"/>
    </font>
    <font>
      <b/>
      <i/>
      <sz val="10"/>
      <color indexed="81"/>
      <name val="Tahoma"/>
      <family val="2"/>
    </font>
    <font>
      <b/>
      <i/>
      <sz val="8"/>
      <color indexed="81"/>
      <name val="Tahoma"/>
      <family val="2"/>
    </font>
    <font>
      <b/>
      <sz val="10"/>
      <color indexed="10"/>
      <name val="Tahoma"/>
      <family val="2"/>
    </font>
    <font>
      <b/>
      <sz val="11"/>
      <color indexed="10"/>
      <name val="Tahoma"/>
      <family val="2"/>
    </font>
    <font>
      <sz val="8"/>
      <color indexed="48"/>
      <name val="Tahoma"/>
      <family val="2"/>
    </font>
    <font>
      <sz val="8"/>
      <color indexed="12"/>
      <name val="Tahoma"/>
      <family val="2"/>
    </font>
    <font>
      <sz val="8"/>
      <color indexed="8"/>
      <name val="Tahoma"/>
      <family val="2"/>
    </font>
    <font>
      <b/>
      <sz val="10"/>
      <color indexed="12"/>
      <name val="Tahoma"/>
      <family val="2"/>
    </font>
    <font>
      <b/>
      <u/>
      <sz val="8"/>
      <color indexed="12"/>
      <name val="Tahoma"/>
      <family val="2"/>
    </font>
    <font>
      <sz val="9"/>
      <color indexed="81"/>
      <name val="Tahoma"/>
      <family val="2"/>
    </font>
    <font>
      <b/>
      <sz val="9"/>
      <color indexed="10"/>
      <name val="Tahoma"/>
      <family val="2"/>
    </font>
    <font>
      <b/>
      <sz val="9"/>
      <color indexed="81"/>
      <name val="Tahoma"/>
      <family val="2"/>
    </font>
    <font>
      <sz val="9"/>
      <color indexed="12"/>
      <name val="Tahoma"/>
      <family val="2"/>
    </font>
    <font>
      <b/>
      <sz val="8"/>
      <color indexed="48"/>
      <name val="Tahoma"/>
      <family val="2"/>
    </font>
    <font>
      <b/>
      <sz val="20"/>
      <color indexed="10"/>
      <name val="Verdana"/>
      <family val="2"/>
    </font>
    <font>
      <sz val="20"/>
      <color indexed="10"/>
      <name val="Verdana"/>
      <family val="2"/>
    </font>
    <font>
      <b/>
      <sz val="11"/>
      <color indexed="48"/>
      <name val="Tahoma"/>
      <family val="2"/>
    </font>
    <font>
      <b/>
      <sz val="12"/>
      <color indexed="48"/>
      <name val="Tahoma"/>
      <family val="2"/>
    </font>
    <font>
      <b/>
      <sz val="10"/>
      <color indexed="48"/>
      <name val="Tahoma"/>
      <family val="2"/>
    </font>
    <font>
      <b/>
      <u/>
      <sz val="12"/>
      <color indexed="10"/>
      <name val="Tahoma"/>
      <family val="2"/>
    </font>
    <font>
      <b/>
      <sz val="9"/>
      <color indexed="12"/>
      <name val="Tahoma"/>
      <family val="2"/>
    </font>
    <font>
      <sz val="8"/>
      <color indexed="12"/>
      <name val="Arial"/>
      <family val="2"/>
    </font>
    <font>
      <sz val="9"/>
      <color indexed="12"/>
      <name val="Arial"/>
      <family val="2"/>
    </font>
    <font>
      <vertAlign val="superscript"/>
      <sz val="8"/>
      <name val="Arial"/>
      <family val="2"/>
    </font>
    <font>
      <b/>
      <sz val="8"/>
      <color indexed="10"/>
      <name val="Tahoma"/>
      <family val="2"/>
    </font>
    <font>
      <u/>
      <sz val="10"/>
      <name val="Arial"/>
    </font>
    <font>
      <b/>
      <sz val="14"/>
      <color indexed="10"/>
      <name val="Tahoma"/>
      <family val="2"/>
    </font>
    <font>
      <b/>
      <sz val="12"/>
      <color indexed="81"/>
      <name val="Symbol"/>
      <family val="1"/>
      <charset val="2"/>
    </font>
    <font>
      <b/>
      <sz val="11"/>
      <color indexed="18"/>
      <name val="Arial"/>
      <family val="2"/>
    </font>
    <font>
      <sz val="10"/>
      <color indexed="18"/>
      <name val="Tahoma"/>
      <family val="2"/>
    </font>
    <font>
      <b/>
      <sz val="12"/>
      <color indexed="18"/>
      <name val="Symbol"/>
      <family val="1"/>
      <charset val="2"/>
    </font>
    <font>
      <sz val="9"/>
      <name val="Symbol"/>
      <family val="1"/>
      <charset val="2"/>
    </font>
    <font>
      <b/>
      <sz val="8"/>
      <color indexed="10"/>
      <name val="Arial"/>
      <family val="2"/>
    </font>
    <font>
      <b/>
      <i/>
      <sz val="9"/>
      <color indexed="10"/>
      <name val="Verdana"/>
      <family val="2"/>
    </font>
    <font>
      <b/>
      <i/>
      <u/>
      <sz val="11"/>
      <color indexed="10"/>
      <name val="Verdana"/>
      <family val="2"/>
    </font>
    <font>
      <b/>
      <i/>
      <sz val="10"/>
      <color indexed="10"/>
      <name val="Symbol"/>
      <family val="1"/>
      <charset val="2"/>
    </font>
    <font>
      <sz val="8"/>
      <color indexed="10"/>
      <name val="Tahoma"/>
      <family val="2"/>
    </font>
    <font>
      <sz val="10"/>
      <color indexed="10"/>
      <name val="Arial"/>
    </font>
    <font>
      <b/>
      <sz val="10"/>
      <color indexed="10"/>
      <name val="Arial"/>
      <family val="2"/>
    </font>
    <font>
      <b/>
      <sz val="10"/>
      <color indexed="12"/>
      <name val="Arial"/>
      <family val="2"/>
    </font>
    <font>
      <b/>
      <sz val="16"/>
      <color indexed="81"/>
      <name val="Tahoma"/>
      <family val="2"/>
    </font>
    <font>
      <u/>
      <sz val="14"/>
      <color indexed="12"/>
      <name val="Verdana"/>
      <family val="2"/>
    </font>
    <font>
      <u/>
      <sz val="9"/>
      <color indexed="12"/>
      <name val="Verdana"/>
      <family val="2"/>
    </font>
    <font>
      <b/>
      <sz val="11"/>
      <color indexed="12"/>
      <name val="Arial"/>
      <family val="2"/>
    </font>
    <font>
      <sz val="10"/>
      <color indexed="48"/>
      <name val="Tahoma"/>
      <family val="2"/>
    </font>
    <font>
      <sz val="10"/>
      <color indexed="10"/>
      <name val="Tahoma"/>
      <family val="2"/>
    </font>
    <font>
      <sz val="11"/>
      <color indexed="12"/>
      <name val="Verdana"/>
      <family val="2"/>
    </font>
    <font>
      <sz val="9"/>
      <color indexed="20"/>
      <name val="Verdana"/>
      <family val="2"/>
    </font>
    <font>
      <b/>
      <sz val="9"/>
      <color indexed="20"/>
      <name val="Verdana"/>
      <family val="2"/>
    </font>
    <font>
      <b/>
      <sz val="9"/>
      <color indexed="12"/>
      <name val="Verdana"/>
      <family val="2"/>
    </font>
    <font>
      <b/>
      <sz val="8"/>
      <color indexed="20"/>
      <name val="Verdana"/>
      <family val="2"/>
    </font>
    <font>
      <sz val="8"/>
      <color indexed="12"/>
      <name val="Verdana"/>
      <family val="2"/>
    </font>
    <font>
      <b/>
      <sz val="12"/>
      <color indexed="12"/>
      <name val="Verdana"/>
      <family val="2"/>
    </font>
    <font>
      <b/>
      <sz val="16"/>
      <color indexed="23"/>
      <name val="Arial"/>
      <family val="2"/>
    </font>
    <font>
      <sz val="7"/>
      <name val="Verdana"/>
      <family val="2"/>
    </font>
    <font>
      <i/>
      <sz val="8"/>
      <name val="Verdana"/>
      <family val="2"/>
    </font>
    <font>
      <b/>
      <i/>
      <sz val="12"/>
      <name val="Verdana"/>
      <family val="2"/>
    </font>
    <font>
      <b/>
      <i/>
      <sz val="9"/>
      <name val="Verdana"/>
      <family val="2"/>
    </font>
    <font>
      <b/>
      <sz val="10"/>
      <color indexed="10"/>
      <name val="Comic Sans MS"/>
      <family val="4"/>
    </font>
    <font>
      <i/>
      <sz val="9"/>
      <name val="Verdana"/>
      <family val="2"/>
    </font>
    <font>
      <i/>
      <sz val="10"/>
      <name val="Verdana"/>
      <family val="2"/>
    </font>
    <font>
      <b/>
      <sz val="8"/>
      <color indexed="10"/>
      <name val="Comic Sans MS"/>
      <family val="4"/>
    </font>
    <font>
      <b/>
      <i/>
      <sz val="10"/>
      <name val="Verdana"/>
      <family val="2"/>
    </font>
    <font>
      <i/>
      <sz val="10"/>
      <name val="Arial"/>
    </font>
    <font>
      <b/>
      <i/>
      <sz val="12"/>
      <name val="Symbol"/>
      <family val="1"/>
      <charset val="2"/>
    </font>
    <font>
      <sz val="9"/>
      <name val="Verdana"/>
      <family val="2"/>
    </font>
    <font>
      <b/>
      <sz val="8"/>
      <color indexed="52"/>
      <name val="Tahoma"/>
      <family val="2"/>
    </font>
    <font>
      <sz val="10"/>
      <name val="Comic Sans MS"/>
      <family val="4"/>
    </font>
    <font>
      <b/>
      <sz val="22"/>
      <name val="Arial"/>
      <family val="2"/>
    </font>
    <font>
      <b/>
      <sz val="16"/>
      <name val="Arial Black"/>
      <family val="2"/>
    </font>
    <font>
      <i/>
      <sz val="9"/>
      <name val="Symbol"/>
      <family val="1"/>
      <charset val="2"/>
    </font>
    <font>
      <i/>
      <sz val="7"/>
      <name val="Verdana"/>
      <family val="2"/>
    </font>
    <font>
      <sz val="18"/>
      <name val="Arial"/>
    </font>
    <font>
      <b/>
      <sz val="8"/>
      <name val="Verdana"/>
      <family val="2"/>
    </font>
    <font>
      <i/>
      <vertAlign val="subscript"/>
      <sz val="10"/>
      <name val="Verdana"/>
      <family val="2"/>
    </font>
    <font>
      <b/>
      <i/>
      <sz val="11"/>
      <name val="Symbol"/>
      <family val="1"/>
      <charset val="2"/>
    </font>
    <font>
      <b/>
      <sz val="16"/>
      <name val="Verdana"/>
      <family val="2"/>
    </font>
    <font>
      <sz val="16"/>
      <color indexed="8"/>
      <name val="Arial"/>
      <family val="2"/>
    </font>
    <font>
      <b/>
      <sz val="16"/>
      <color indexed="8"/>
      <name val="Symbol"/>
      <family val="1"/>
      <charset val="2"/>
    </font>
    <font>
      <vertAlign val="subscript"/>
      <sz val="14"/>
      <color indexed="8"/>
      <name val="Arial"/>
      <family val="2"/>
    </font>
    <font>
      <sz val="12"/>
      <color indexed="8"/>
      <name val="Arial"/>
      <family val="2"/>
    </font>
    <font>
      <sz val="10"/>
      <color indexed="8"/>
      <name val="Arial"/>
      <family val="2"/>
    </font>
    <font>
      <b/>
      <sz val="18"/>
      <color indexed="8"/>
      <name val="Symbol"/>
      <family val="1"/>
      <charset val="2"/>
    </font>
    <font>
      <sz val="14"/>
      <color indexed="8"/>
      <name val="Arial"/>
      <family val="2"/>
    </font>
    <font>
      <b/>
      <sz val="9"/>
      <color indexed="8"/>
      <name val="Symbol"/>
      <family val="1"/>
      <charset val="2"/>
    </font>
    <font>
      <b/>
      <sz val="12"/>
      <color indexed="8"/>
      <name val="Symbol"/>
      <family val="1"/>
      <charset val="2"/>
    </font>
    <font>
      <b/>
      <sz val="12"/>
      <color indexed="8"/>
      <name val="Arial"/>
      <family val="2"/>
    </font>
    <font>
      <b/>
      <sz val="11"/>
      <color indexed="63"/>
      <name val="Verdana"/>
      <family val="2"/>
    </font>
    <font>
      <sz val="11"/>
      <color indexed="63"/>
      <name val="Verdana"/>
      <family val="2"/>
    </font>
    <font>
      <sz val="11"/>
      <color indexed="63"/>
      <name val="Arial"/>
    </font>
    <font>
      <u/>
      <sz val="8"/>
      <color indexed="12"/>
      <name val="Arial"/>
    </font>
    <font>
      <b/>
      <u/>
      <sz val="8"/>
      <color indexed="17"/>
      <name val="Arial"/>
      <family val="2"/>
    </font>
    <font>
      <b/>
      <sz val="12"/>
      <color indexed="17"/>
      <name val="Arial"/>
      <family val="2"/>
    </font>
    <font>
      <b/>
      <sz val="14"/>
      <color indexed="17"/>
      <name val="Arial"/>
      <family val="2"/>
    </font>
    <font>
      <b/>
      <sz val="12"/>
      <color indexed="48"/>
      <name val="Verdana"/>
      <family val="2"/>
    </font>
    <font>
      <b/>
      <sz val="12"/>
      <color indexed="10"/>
      <name val="Verdana"/>
      <family val="2"/>
    </font>
    <font>
      <sz val="10"/>
      <color indexed="14"/>
      <name val="Verdana"/>
      <family val="2"/>
    </font>
    <font>
      <b/>
      <sz val="12"/>
      <color indexed="14"/>
      <name val="Verdana"/>
      <family val="2"/>
    </font>
    <font>
      <u/>
      <sz val="12"/>
      <color indexed="12"/>
      <name val="Arial Black"/>
      <family val="2"/>
    </font>
    <font>
      <sz val="12"/>
      <color indexed="63"/>
      <name val="Arial Black"/>
      <family val="2"/>
    </font>
    <font>
      <b/>
      <u/>
      <sz val="10"/>
      <color indexed="10"/>
      <name val="Arial"/>
      <family val="2"/>
    </font>
    <font>
      <sz val="8"/>
      <name val="Symbol"/>
      <family val="1"/>
      <charset val="2"/>
    </font>
    <font>
      <vertAlign val="subscript"/>
      <sz val="9"/>
      <name val="Arial"/>
      <family val="2"/>
    </font>
    <font>
      <b/>
      <u/>
      <sz val="12"/>
      <color indexed="12"/>
      <name val="Bitstream Vera Sans"/>
      <family val="2"/>
    </font>
    <font>
      <b/>
      <sz val="12"/>
      <color indexed="12"/>
      <name val="Arial"/>
      <family val="2"/>
    </font>
    <font>
      <b/>
      <sz val="12"/>
      <name val="Arial Narrow"/>
      <family val="2"/>
    </font>
    <font>
      <sz val="8"/>
      <color indexed="8"/>
      <name val="Arial"/>
      <family val="2"/>
    </font>
    <font>
      <sz val="10"/>
      <name val="Tahoma"/>
      <family val="2"/>
    </font>
    <font>
      <sz val="20"/>
      <color indexed="81"/>
      <name val="Tahoma"/>
      <family val="2"/>
    </font>
    <font>
      <b/>
      <u/>
      <sz val="20"/>
      <color indexed="10"/>
      <name val="Tahoma"/>
      <family val="2"/>
    </font>
    <font>
      <b/>
      <sz val="18"/>
      <color indexed="81"/>
      <name val="Tahoma"/>
      <family val="2"/>
    </font>
    <font>
      <b/>
      <sz val="18"/>
      <color indexed="10"/>
      <name val="Tahoma"/>
      <family val="2"/>
    </font>
    <font>
      <b/>
      <u/>
      <sz val="18"/>
      <color indexed="10"/>
      <name val="Tahoma"/>
      <family val="2"/>
    </font>
    <font>
      <sz val="18"/>
      <color indexed="81"/>
      <name val="Tahoma"/>
      <family val="2"/>
    </font>
    <font>
      <sz val="7"/>
      <color indexed="10"/>
      <name val="Arial"/>
      <family val="2"/>
    </font>
    <font>
      <u/>
      <sz val="10"/>
      <name val="Arial"/>
      <family val="2"/>
    </font>
    <font>
      <b/>
      <u/>
      <sz val="8"/>
      <color indexed="10"/>
      <name val="Arial"/>
      <family val="2"/>
    </font>
    <font>
      <b/>
      <vertAlign val="subscript"/>
      <sz val="9"/>
      <name val="Arial"/>
      <family val="2"/>
    </font>
    <font>
      <sz val="7"/>
      <name val="Arial"/>
      <family val="2"/>
    </font>
    <font>
      <b/>
      <i/>
      <vertAlign val="subscript"/>
      <sz val="12"/>
      <name val="Verdana"/>
      <family val="2"/>
    </font>
    <font>
      <i/>
      <sz val="10"/>
      <color indexed="10"/>
      <name val="Arial"/>
      <family val="2"/>
    </font>
    <font>
      <b/>
      <sz val="10"/>
      <color indexed="17"/>
      <name val="Arial"/>
      <family val="2"/>
    </font>
    <font>
      <b/>
      <u/>
      <sz val="10"/>
      <color indexed="17"/>
      <name val="Arial"/>
      <family val="2"/>
    </font>
    <font>
      <vertAlign val="subscript"/>
      <sz val="18"/>
      <name val="Arial"/>
    </font>
    <font>
      <b/>
      <i/>
      <sz val="9"/>
      <color indexed="10"/>
      <name val="Arial"/>
      <family val="2"/>
    </font>
    <font>
      <b/>
      <u/>
      <sz val="10"/>
      <color indexed="12"/>
      <name val="Verdana"/>
      <family val="2"/>
    </font>
    <font>
      <b/>
      <u/>
      <sz val="11"/>
      <color indexed="52"/>
      <name val="Verdana"/>
      <family val="2"/>
    </font>
    <font>
      <b/>
      <sz val="12"/>
      <color indexed="10"/>
      <name val="Tahoma"/>
      <family val="2"/>
    </font>
    <font>
      <b/>
      <i/>
      <sz val="12"/>
      <color indexed="10"/>
      <name val="Arial"/>
      <family val="2"/>
    </font>
    <font>
      <b/>
      <sz val="10"/>
      <color indexed="10"/>
      <name val="Symbol"/>
      <family val="1"/>
      <charset val="2"/>
    </font>
    <font>
      <b/>
      <i/>
      <vertAlign val="subscript"/>
      <sz val="10"/>
      <name val="Arial"/>
      <family val="2"/>
    </font>
    <font>
      <u/>
      <sz val="10"/>
      <color indexed="12"/>
      <name val="Verdana"/>
      <family val="2"/>
    </font>
    <font>
      <b/>
      <sz val="9"/>
      <color indexed="48"/>
      <name val="Verdana"/>
      <family val="2"/>
    </font>
  </fonts>
  <fills count="26">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11"/>
        <bgColor indexed="64"/>
      </patternFill>
    </fill>
    <fill>
      <patternFill patternType="solid">
        <fgColor indexed="42"/>
        <bgColor indexed="64"/>
      </patternFill>
    </fill>
    <fill>
      <patternFill patternType="solid">
        <fgColor indexed="50"/>
        <bgColor indexed="64"/>
      </patternFill>
    </fill>
    <fill>
      <patternFill patternType="solid">
        <fgColor indexed="41"/>
        <bgColor indexed="64"/>
      </patternFill>
    </fill>
    <fill>
      <patternFill patternType="solid">
        <fgColor indexed="55"/>
        <bgColor indexed="64"/>
      </patternFill>
    </fill>
    <fill>
      <patternFill patternType="solid">
        <fgColor indexed="15"/>
        <bgColor indexed="64"/>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8"/>
        <bgColor indexed="64"/>
      </patternFill>
    </fill>
    <fill>
      <patternFill patternType="solid">
        <fgColor indexed="17"/>
        <bgColor indexed="64"/>
      </patternFill>
    </fill>
    <fill>
      <patternFill patternType="solid">
        <fgColor indexed="10"/>
        <bgColor indexed="64"/>
      </patternFill>
    </fill>
    <fill>
      <patternFill patternType="solid">
        <fgColor indexed="13"/>
        <bgColor indexed="64"/>
      </patternFill>
    </fill>
    <fill>
      <patternFill patternType="solid">
        <fgColor indexed="52"/>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indexed="46"/>
        <bgColor indexed="64"/>
      </patternFill>
    </fill>
    <fill>
      <patternFill patternType="solid">
        <fgColor indexed="8"/>
        <bgColor indexed="64"/>
      </patternFill>
    </fill>
    <fill>
      <patternFill patternType="solid">
        <fgColor indexed="12"/>
        <bgColor indexed="64"/>
      </patternFill>
    </fill>
    <fill>
      <patternFill patternType="solid">
        <fgColor indexed="47"/>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10"/>
      </bottom>
      <diagonal/>
    </border>
    <border>
      <left style="thin">
        <color indexed="10"/>
      </left>
      <right/>
      <top/>
      <bottom/>
      <diagonal/>
    </border>
    <border>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s>
  <cellStyleXfs count="2">
    <xf numFmtId="0" fontId="0" fillId="0" borderId="0"/>
    <xf numFmtId="0" fontId="38" fillId="0" borderId="0" applyNumberFormat="0" applyFill="0" applyBorder="0" applyAlignment="0" applyProtection="0">
      <alignment vertical="top"/>
      <protection locked="0"/>
    </xf>
  </cellStyleXfs>
  <cellXfs count="1650">
    <xf numFmtId="0" fontId="0" fillId="0" borderId="0" xfId="0"/>
    <xf numFmtId="0" fontId="0" fillId="0" borderId="0" xfId="0" applyAlignment="1">
      <alignment horizontal="center"/>
    </xf>
    <xf numFmtId="0" fontId="9" fillId="0" borderId="0" xfId="0" applyFont="1"/>
    <xf numFmtId="0" fontId="0" fillId="2" borderId="1" xfId="0" applyFill="1" applyBorder="1"/>
    <xf numFmtId="0" fontId="0" fillId="2" borderId="1" xfId="0" applyFill="1" applyBorder="1" applyAlignment="1">
      <alignment horizontal="center"/>
    </xf>
    <xf numFmtId="0" fontId="0" fillId="3" borderId="1" xfId="0" applyFill="1" applyBorder="1"/>
    <xf numFmtId="0" fontId="3" fillId="3" borderId="1" xfId="0" applyFont="1" applyFill="1" applyBorder="1" applyAlignment="1">
      <alignment horizontal="center"/>
    </xf>
    <xf numFmtId="0" fontId="5" fillId="3" borderId="1" xfId="0" applyFont="1" applyFill="1" applyBorder="1" applyAlignment="1">
      <alignment horizontal="center"/>
    </xf>
    <xf numFmtId="0" fontId="6" fillId="3" borderId="1" xfId="0" applyFont="1" applyFill="1" applyBorder="1" applyAlignment="1">
      <alignment horizontal="center"/>
    </xf>
    <xf numFmtId="0" fontId="0" fillId="4" borderId="1" xfId="0" applyFill="1" applyBorder="1"/>
    <xf numFmtId="0" fontId="6" fillId="4" borderId="1" xfId="0" applyFont="1" applyFill="1" applyBorder="1" applyAlignment="1">
      <alignment horizontal="center"/>
    </xf>
    <xf numFmtId="0" fontId="0" fillId="0" borderId="0" xfId="0" applyBorder="1" applyAlignment="1">
      <alignment horizontal="center"/>
    </xf>
    <xf numFmtId="0" fontId="8" fillId="0" borderId="0" xfId="0" applyFont="1" applyFill="1" applyBorder="1" applyAlignment="1">
      <alignment horizontal="center"/>
    </xf>
    <xf numFmtId="1" fontId="12" fillId="3" borderId="1" xfId="0" applyNumberFormat="1" applyFont="1" applyFill="1" applyBorder="1" applyAlignment="1">
      <alignment horizontal="center"/>
    </xf>
    <xf numFmtId="1" fontId="12" fillId="4" borderId="1" xfId="0" applyNumberFormat="1" applyFont="1" applyFill="1" applyBorder="1" applyAlignment="1">
      <alignment horizontal="center"/>
    </xf>
    <xf numFmtId="2" fontId="0" fillId="0" borderId="0" xfId="0" applyNumberFormat="1"/>
    <xf numFmtId="2" fontId="12" fillId="3" borderId="1" xfId="0" applyNumberFormat="1" applyFont="1" applyFill="1" applyBorder="1" applyAlignment="1">
      <alignment horizontal="center"/>
    </xf>
    <xf numFmtId="0" fontId="0" fillId="2" borderId="2" xfId="0" applyFill="1" applyBorder="1"/>
    <xf numFmtId="0" fontId="0" fillId="0" borderId="3" xfId="0" applyBorder="1"/>
    <xf numFmtId="0" fontId="9" fillId="3" borderId="4" xfId="0" applyFont="1" applyFill="1" applyBorder="1" applyAlignment="1">
      <alignment horizontal="center"/>
    </xf>
    <xf numFmtId="0" fontId="4" fillId="3" borderId="4" xfId="0" applyFont="1" applyFill="1" applyBorder="1" applyAlignment="1">
      <alignment horizontal="center"/>
    </xf>
    <xf numFmtId="0" fontId="9" fillId="4" borderId="4" xfId="0" applyFont="1" applyFill="1" applyBorder="1" applyAlignment="1">
      <alignment horizontal="center"/>
    </xf>
    <xf numFmtId="0" fontId="0" fillId="5" borderId="1" xfId="0" applyFill="1" applyBorder="1"/>
    <xf numFmtId="0" fontId="6" fillId="5" borderId="1" xfId="0" applyFont="1" applyFill="1" applyBorder="1" applyAlignment="1">
      <alignment horizontal="center"/>
    </xf>
    <xf numFmtId="1" fontId="12" fillId="5" borderId="1" xfId="0" applyNumberFormat="1" applyFont="1" applyFill="1" applyBorder="1" applyAlignment="1">
      <alignment horizontal="center"/>
    </xf>
    <xf numFmtId="0" fontId="9" fillId="5" borderId="4" xfId="0" applyFont="1" applyFill="1" applyBorder="1" applyAlignment="1">
      <alignment horizontal="center"/>
    </xf>
    <xf numFmtId="0" fontId="0" fillId="5" borderId="5" xfId="0" applyFill="1" applyBorder="1"/>
    <xf numFmtId="0" fontId="6" fillId="5" borderId="5" xfId="0" applyFont="1" applyFill="1" applyBorder="1" applyAlignment="1">
      <alignment horizontal="center"/>
    </xf>
    <xf numFmtId="1" fontId="12" fillId="5" borderId="5" xfId="0" applyNumberFormat="1" applyFont="1" applyFill="1" applyBorder="1" applyAlignment="1">
      <alignment horizontal="center"/>
    </xf>
    <xf numFmtId="0" fontId="9" fillId="5" borderId="6" xfId="0" applyFont="1" applyFill="1" applyBorder="1" applyAlignment="1">
      <alignment horizontal="center"/>
    </xf>
    <xf numFmtId="0" fontId="7" fillId="2" borderId="7" xfId="0" applyFont="1" applyFill="1" applyBorder="1" applyAlignment="1">
      <alignment horizontal="center"/>
    </xf>
    <xf numFmtId="0" fontId="0" fillId="2" borderId="8" xfId="0" applyFill="1" applyBorder="1" applyAlignment="1">
      <alignment horizontal="center"/>
    </xf>
    <xf numFmtId="0" fontId="3" fillId="2" borderId="8" xfId="0" applyFont="1" applyFill="1" applyBorder="1" applyAlignment="1">
      <alignment horizontal="center"/>
    </xf>
    <xf numFmtId="0" fontId="5" fillId="2" borderId="8" xfId="0" applyFont="1" applyFill="1" applyBorder="1" applyAlignment="1">
      <alignment horizontal="center"/>
    </xf>
    <xf numFmtId="0" fontId="9" fillId="2" borderId="9" xfId="0" applyFont="1" applyFill="1" applyBorder="1" applyAlignment="1">
      <alignment horizontal="center"/>
    </xf>
    <xf numFmtId="0" fontId="9" fillId="2" borderId="10" xfId="0" applyFont="1" applyFill="1" applyBorder="1" applyAlignment="1">
      <alignment horizontal="center"/>
    </xf>
    <xf numFmtId="1" fontId="12" fillId="3" borderId="2" xfId="0" applyNumberFormat="1" applyFont="1" applyFill="1" applyBorder="1" applyAlignment="1">
      <alignment horizontal="center"/>
    </xf>
    <xf numFmtId="0" fontId="9" fillId="4" borderId="8" xfId="0" applyFont="1" applyFill="1" applyBorder="1" applyAlignment="1">
      <alignment horizontal="center"/>
    </xf>
    <xf numFmtId="0" fontId="9" fillId="5" borderId="8" xfId="0" applyFont="1" applyFill="1" applyBorder="1" applyAlignment="1">
      <alignment horizontal="center"/>
    </xf>
    <xf numFmtId="0" fontId="10" fillId="4" borderId="11" xfId="0" applyFont="1" applyFill="1" applyBorder="1" applyAlignment="1">
      <alignment horizontal="center"/>
    </xf>
    <xf numFmtId="1" fontId="7" fillId="4" borderId="12" xfId="0" applyNumberFormat="1" applyFont="1" applyFill="1" applyBorder="1" applyAlignment="1">
      <alignment horizontal="center"/>
    </xf>
    <xf numFmtId="0" fontId="10" fillId="5" borderId="11" xfId="0" applyFont="1" applyFill="1" applyBorder="1" applyAlignment="1">
      <alignment horizontal="center"/>
    </xf>
    <xf numFmtId="1" fontId="7" fillId="5" borderId="12" xfId="0" applyNumberFormat="1" applyFont="1" applyFill="1" applyBorder="1" applyAlignment="1">
      <alignment horizontal="center"/>
    </xf>
    <xf numFmtId="0" fontId="16" fillId="0" borderId="13" xfId="0" applyFont="1" applyBorder="1" applyAlignment="1">
      <alignment horizontal="center"/>
    </xf>
    <xf numFmtId="0" fontId="19" fillId="2" borderId="14" xfId="0" applyFont="1" applyFill="1" applyBorder="1" applyAlignment="1">
      <alignment horizontal="center"/>
    </xf>
    <xf numFmtId="0" fontId="19" fillId="2" borderId="15" xfId="0" applyFont="1" applyFill="1" applyBorder="1" applyAlignment="1">
      <alignment horizontal="center"/>
    </xf>
    <xf numFmtId="0" fontId="7" fillId="4" borderId="1" xfId="0" applyFont="1" applyFill="1" applyBorder="1" applyAlignment="1">
      <alignment horizontal="center"/>
    </xf>
    <xf numFmtId="0" fontId="0" fillId="4" borderId="1" xfId="0" applyFill="1" applyBorder="1" applyAlignment="1">
      <alignment horizontal="center"/>
    </xf>
    <xf numFmtId="0" fontId="20" fillId="4" borderId="1" xfId="0" applyFont="1" applyFill="1" applyBorder="1" applyAlignment="1">
      <alignment horizontal="right"/>
    </xf>
    <xf numFmtId="0" fontId="0" fillId="4" borderId="5" xfId="0" applyFill="1" applyBorder="1"/>
    <xf numFmtId="0" fontId="0" fillId="4" borderId="5" xfId="0" applyFill="1" applyBorder="1" applyAlignment="1">
      <alignment horizontal="center"/>
    </xf>
    <xf numFmtId="0" fontId="9" fillId="4" borderId="6" xfId="0" applyFont="1" applyFill="1" applyBorder="1" applyAlignment="1">
      <alignment horizontal="center"/>
    </xf>
    <xf numFmtId="0" fontId="7" fillId="2" borderId="8" xfId="0" applyFont="1" applyFill="1" applyBorder="1" applyAlignment="1">
      <alignment horizontal="center"/>
    </xf>
    <xf numFmtId="0" fontId="1" fillId="5" borderId="1" xfId="0" applyFont="1" applyFill="1" applyBorder="1" applyAlignment="1">
      <alignment vertical="center"/>
    </xf>
    <xf numFmtId="1" fontId="12" fillId="5" borderId="16" xfId="0" applyNumberFormat="1" applyFont="1" applyFill="1" applyBorder="1" applyAlignment="1">
      <alignment horizontal="center"/>
    </xf>
    <xf numFmtId="0" fontId="11" fillId="4" borderId="1" xfId="0" applyFont="1" applyFill="1" applyBorder="1" applyAlignment="1">
      <alignment horizontal="center" vertical="center"/>
    </xf>
    <xf numFmtId="0" fontId="6" fillId="4" borderId="8" xfId="0" applyFont="1" applyFill="1" applyBorder="1" applyAlignment="1">
      <alignment horizontal="center" vertical="center"/>
    </xf>
    <xf numFmtId="1" fontId="7" fillId="4" borderId="17" xfId="0" applyNumberFormat="1" applyFont="1" applyFill="1" applyBorder="1" applyAlignment="1">
      <alignment horizontal="center" vertical="center"/>
    </xf>
    <xf numFmtId="0" fontId="23" fillId="4" borderId="10" xfId="0" applyFont="1" applyFill="1" applyBorder="1" applyAlignment="1">
      <alignment horizontal="center"/>
    </xf>
    <xf numFmtId="0" fontId="10" fillId="0" borderId="8" xfId="0" applyFont="1" applyBorder="1" applyAlignment="1">
      <alignment horizontal="center"/>
    </xf>
    <xf numFmtId="0" fontId="24" fillId="0" borderId="13" xfId="0" applyFont="1" applyBorder="1"/>
    <xf numFmtId="1" fontId="0" fillId="0" borderId="0" xfId="0" applyNumberFormat="1"/>
    <xf numFmtId="0" fontId="0" fillId="2" borderId="8" xfId="0" applyFill="1" applyBorder="1"/>
    <xf numFmtId="0" fontId="28" fillId="2" borderId="18" xfId="0" applyFont="1" applyFill="1" applyBorder="1" applyAlignment="1">
      <alignment horizontal="center"/>
    </xf>
    <xf numFmtId="0" fontId="30" fillId="2" borderId="18" xfId="0" applyFont="1" applyFill="1" applyBorder="1" applyAlignment="1">
      <alignment horizontal="center"/>
    </xf>
    <xf numFmtId="0" fontId="0" fillId="4" borderId="8" xfId="0" applyFill="1" applyBorder="1"/>
    <xf numFmtId="0" fontId="28" fillId="4" borderId="18" xfId="0" applyFont="1" applyFill="1" applyBorder="1" applyAlignment="1">
      <alignment horizontal="center"/>
    </xf>
    <xf numFmtId="0" fontId="0" fillId="0" borderId="1" xfId="0" applyBorder="1" applyAlignment="1">
      <alignment horizontal="center"/>
    </xf>
    <xf numFmtId="0" fontId="0" fillId="0" borderId="15" xfId="0" applyBorder="1" applyAlignment="1">
      <alignment horizontal="center"/>
    </xf>
    <xf numFmtId="0" fontId="0" fillId="0" borderId="4" xfId="0" applyBorder="1" applyAlignment="1">
      <alignment horizontal="center"/>
    </xf>
    <xf numFmtId="2" fontId="0" fillId="0" borderId="0" xfId="0" applyNumberFormat="1" applyAlignment="1">
      <alignment horizontal="center"/>
    </xf>
    <xf numFmtId="0" fontId="0" fillId="3" borderId="16" xfId="0" applyFill="1" applyBorder="1" applyAlignment="1">
      <alignment horizontal="center"/>
    </xf>
    <xf numFmtId="0" fontId="0" fillId="3" borderId="19" xfId="0" applyFill="1" applyBorder="1" applyAlignment="1">
      <alignment horizontal="center"/>
    </xf>
    <xf numFmtId="0" fontId="10" fillId="0" borderId="8" xfId="0" applyFont="1" applyBorder="1" applyAlignment="1">
      <alignment horizontal="centerContinuous"/>
    </xf>
    <xf numFmtId="0" fontId="0" fillId="0" borderId="13" xfId="0" applyBorder="1" applyAlignment="1">
      <alignment horizontal="centerContinuous"/>
    </xf>
    <xf numFmtId="0" fontId="0" fillId="0" borderId="18" xfId="0" applyBorder="1" applyAlignment="1">
      <alignment horizontal="centerContinuous"/>
    </xf>
    <xf numFmtId="0" fontId="10" fillId="0" borderId="1" xfId="0" applyFont="1" applyBorder="1" applyAlignment="1">
      <alignment horizontal="center"/>
    </xf>
    <xf numFmtId="2" fontId="0" fillId="4" borderId="1" xfId="0" applyNumberFormat="1" applyFill="1" applyBorder="1"/>
    <xf numFmtId="1" fontId="23" fillId="0" borderId="1" xfId="0" applyNumberFormat="1" applyFont="1" applyBorder="1" applyAlignment="1">
      <alignment horizontal="center"/>
    </xf>
    <xf numFmtId="2" fontId="0" fillId="0" borderId="1" xfId="0" applyNumberFormat="1" applyBorder="1" applyAlignment="1">
      <alignment horizontal="center"/>
    </xf>
    <xf numFmtId="0" fontId="23" fillId="0" borderId="1" xfId="0" applyFont="1" applyBorder="1" applyAlignment="1">
      <alignment horizontal="center"/>
    </xf>
    <xf numFmtId="0" fontId="10" fillId="0" borderId="1" xfId="0" applyFont="1" applyBorder="1"/>
    <xf numFmtId="0" fontId="10" fillId="0" borderId="1" xfId="0" applyFont="1" applyBorder="1" applyAlignment="1">
      <alignment horizontal="left"/>
    </xf>
    <xf numFmtId="0" fontId="10" fillId="0" borderId="0" xfId="0" applyFont="1" applyBorder="1" applyAlignment="1">
      <alignment horizontal="centerContinuous"/>
    </xf>
    <xf numFmtId="0" fontId="0" fillId="0" borderId="0" xfId="0" applyBorder="1" applyAlignment="1">
      <alignment horizontal="centerContinuous"/>
    </xf>
    <xf numFmtId="0" fontId="10" fillId="0" borderId="0" xfId="0" applyFont="1" applyBorder="1" applyAlignment="1">
      <alignment horizontal="center"/>
    </xf>
    <xf numFmtId="1" fontId="23" fillId="0" borderId="0" xfId="0" applyNumberFormat="1" applyFont="1" applyBorder="1" applyAlignment="1">
      <alignment horizontal="center"/>
    </xf>
    <xf numFmtId="2" fontId="0" fillId="0" borderId="0" xfId="0" applyNumberFormat="1" applyBorder="1" applyAlignment="1">
      <alignment horizontal="center"/>
    </xf>
    <xf numFmtId="0" fontId="36" fillId="0" borderId="0" xfId="0" applyFont="1"/>
    <xf numFmtId="0" fontId="24" fillId="0" borderId="0" xfId="0" applyFont="1" applyAlignment="1">
      <alignment horizontal="center"/>
    </xf>
    <xf numFmtId="0" fontId="24" fillId="4" borderId="1" xfId="0" applyFont="1" applyFill="1" applyBorder="1" applyAlignment="1">
      <alignment horizontal="center"/>
    </xf>
    <xf numFmtId="2" fontId="10" fillId="4" borderId="1" xfId="0" applyNumberFormat="1" applyFont="1" applyFill="1" applyBorder="1" applyAlignment="1">
      <alignment horizontal="center"/>
    </xf>
    <xf numFmtId="0" fontId="37" fillId="0" borderId="0" xfId="0" applyFont="1" applyAlignment="1">
      <alignment horizontal="center"/>
    </xf>
    <xf numFmtId="0" fontId="10" fillId="0" borderId="0" xfId="0" applyFont="1"/>
    <xf numFmtId="2" fontId="40" fillId="0" borderId="1" xfId="0" applyNumberFormat="1" applyFont="1" applyBorder="1" applyAlignment="1">
      <alignment horizontal="center"/>
    </xf>
    <xf numFmtId="2" fontId="0" fillId="0" borderId="1" xfId="0" applyNumberFormat="1" applyFill="1" applyBorder="1" applyAlignment="1">
      <alignment horizontal="center"/>
    </xf>
    <xf numFmtId="0" fontId="23" fillId="0" borderId="0" xfId="0" applyFont="1" applyBorder="1" applyAlignment="1">
      <alignment horizontal="center"/>
    </xf>
    <xf numFmtId="0" fontId="23" fillId="0" borderId="20" xfId="0" applyFont="1" applyFill="1" applyBorder="1" applyAlignment="1">
      <alignment horizontal="center"/>
    </xf>
    <xf numFmtId="174" fontId="0" fillId="0" borderId="0" xfId="0" applyNumberFormat="1" applyBorder="1" applyAlignment="1">
      <alignment horizontal="center"/>
    </xf>
    <xf numFmtId="2" fontId="0" fillId="0" borderId="0" xfId="0" applyNumberFormat="1" applyFill="1" applyBorder="1" applyAlignment="1">
      <alignment horizontal="center"/>
    </xf>
    <xf numFmtId="2" fontId="0" fillId="0" borderId="20" xfId="0" applyNumberFormat="1" applyFill="1" applyBorder="1" applyAlignment="1">
      <alignment horizontal="center"/>
    </xf>
    <xf numFmtId="0" fontId="0" fillId="0" borderId="0" xfId="0" applyAlignment="1">
      <alignment horizontal="left"/>
    </xf>
    <xf numFmtId="2" fontId="9" fillId="0" borderId="0" xfId="0" applyNumberFormat="1" applyFont="1" applyBorder="1" applyAlignment="1">
      <alignment horizontal="center"/>
    </xf>
    <xf numFmtId="174" fontId="0" fillId="0" borderId="0" xfId="0" applyNumberFormat="1" applyFill="1" applyBorder="1" applyAlignment="1">
      <alignment horizontal="center"/>
    </xf>
    <xf numFmtId="0" fontId="0" fillId="0" borderId="1" xfId="0" applyBorder="1"/>
    <xf numFmtId="0" fontId="3" fillId="0" borderId="1" xfId="0" applyFont="1" applyBorder="1"/>
    <xf numFmtId="0" fontId="8" fillId="0" borderId="1" xfId="0" applyFont="1" applyBorder="1" applyAlignment="1">
      <alignment horizontal="center"/>
    </xf>
    <xf numFmtId="174" fontId="0" fillId="0" borderId="0" xfId="0" applyNumberFormat="1"/>
    <xf numFmtId="0" fontId="8" fillId="0" borderId="0" xfId="0" applyFont="1"/>
    <xf numFmtId="0" fontId="47" fillId="0" borderId="1" xfId="0" applyFont="1" applyBorder="1" applyAlignment="1">
      <alignment horizontal="center"/>
    </xf>
    <xf numFmtId="164" fontId="47" fillId="0" borderId="1" xfId="0" applyNumberFormat="1" applyFont="1" applyBorder="1" applyAlignment="1">
      <alignment horizontal="center"/>
    </xf>
    <xf numFmtId="164" fontId="0" fillId="0" borderId="0" xfId="0" applyNumberFormat="1" applyAlignment="1">
      <alignment horizontal="center"/>
    </xf>
    <xf numFmtId="164" fontId="0" fillId="0" borderId="0" xfId="0" applyNumberFormat="1"/>
    <xf numFmtId="2" fontId="12" fillId="0" borderId="1" xfId="0" applyNumberFormat="1" applyFont="1" applyFill="1" applyBorder="1" applyAlignment="1">
      <alignment horizontal="center"/>
    </xf>
    <xf numFmtId="165" fontId="12" fillId="0" borderId="1" xfId="0" applyNumberFormat="1" applyFont="1" applyFill="1" applyBorder="1" applyAlignment="1">
      <alignment horizontal="center"/>
    </xf>
    <xf numFmtId="174" fontId="12" fillId="0" borderId="1" xfId="0" applyNumberFormat="1" applyFont="1" applyFill="1" applyBorder="1" applyAlignment="1">
      <alignment horizontal="center"/>
    </xf>
    <xf numFmtId="0" fontId="38" fillId="6" borderId="17" xfId="1" applyFill="1" applyBorder="1" applyAlignment="1" applyProtection="1">
      <alignment horizontal="center"/>
    </xf>
    <xf numFmtId="0" fontId="48" fillId="0" borderId="0" xfId="0" applyFont="1"/>
    <xf numFmtId="0" fontId="19" fillId="4" borderId="15" xfId="0" applyFont="1" applyFill="1" applyBorder="1" applyAlignment="1">
      <alignment horizontal="center"/>
    </xf>
    <xf numFmtId="0" fontId="19" fillId="4" borderId="21" xfId="0" applyFont="1" applyFill="1" applyBorder="1" applyAlignment="1">
      <alignment horizontal="center"/>
    </xf>
    <xf numFmtId="0" fontId="26" fillId="2" borderId="1" xfId="0" applyFont="1" applyFill="1" applyBorder="1" applyAlignment="1">
      <alignment horizontal="center"/>
    </xf>
    <xf numFmtId="0" fontId="9" fillId="4" borderId="1" xfId="0" applyFont="1" applyFill="1" applyBorder="1" applyAlignment="1">
      <alignment horizontal="center"/>
    </xf>
    <xf numFmtId="0" fontId="0" fillId="0" borderId="0" xfId="0" applyFill="1" applyBorder="1" applyAlignment="1">
      <alignment horizontal="center"/>
    </xf>
    <xf numFmtId="0" fontId="20" fillId="0" borderId="0" xfId="0" applyFont="1" applyFill="1" applyBorder="1" applyAlignment="1">
      <alignment horizontal="center"/>
    </xf>
    <xf numFmtId="0" fontId="19" fillId="4" borderId="1" xfId="0" applyFont="1" applyFill="1" applyBorder="1" applyAlignment="1">
      <alignment horizontal="center"/>
    </xf>
    <xf numFmtId="0" fontId="51" fillId="2" borderId="1" xfId="0" applyFont="1" applyFill="1" applyBorder="1" applyAlignment="1">
      <alignment horizontal="center"/>
    </xf>
    <xf numFmtId="0" fontId="19" fillId="0" borderId="0" xfId="0" applyFont="1" applyFill="1" applyBorder="1" applyAlignment="1">
      <alignment horizontal="center"/>
    </xf>
    <xf numFmtId="0" fontId="38" fillId="6" borderId="22" xfId="1" applyFill="1" applyBorder="1" applyAlignment="1" applyProtection="1">
      <alignment horizontal="center"/>
    </xf>
    <xf numFmtId="0" fontId="10" fillId="4" borderId="23" xfId="0" applyFont="1" applyFill="1" applyBorder="1" applyAlignment="1">
      <alignment horizontal="center"/>
    </xf>
    <xf numFmtId="1" fontId="7" fillId="4" borderId="24" xfId="0" applyNumberFormat="1" applyFont="1" applyFill="1" applyBorder="1" applyAlignment="1">
      <alignment horizontal="center"/>
    </xf>
    <xf numFmtId="0" fontId="10" fillId="5" borderId="23" xfId="0" applyFont="1" applyFill="1" applyBorder="1" applyAlignment="1">
      <alignment horizontal="center"/>
    </xf>
    <xf numFmtId="1" fontId="7" fillId="5" borderId="24" xfId="0" applyNumberFormat="1" applyFont="1" applyFill="1" applyBorder="1" applyAlignment="1">
      <alignment horizontal="center"/>
    </xf>
    <xf numFmtId="0" fontId="0" fillId="2" borderId="25" xfId="0" applyFill="1" applyBorder="1"/>
    <xf numFmtId="0" fontId="7" fillId="2" borderId="26" xfId="0" applyFont="1" applyFill="1" applyBorder="1" applyAlignment="1">
      <alignment horizontal="center"/>
    </xf>
    <xf numFmtId="0" fontId="9" fillId="2" borderId="23" xfId="0" applyFont="1" applyFill="1" applyBorder="1" applyAlignment="1">
      <alignment horizontal="center"/>
    </xf>
    <xf numFmtId="0" fontId="38" fillId="0" borderId="0" xfId="1" applyFill="1" applyBorder="1" applyAlignment="1" applyProtection="1">
      <alignment horizontal="center"/>
    </xf>
    <xf numFmtId="0" fontId="6" fillId="5" borderId="16" xfId="0" applyFont="1" applyFill="1" applyBorder="1" applyAlignment="1">
      <alignment horizontal="center"/>
    </xf>
    <xf numFmtId="0" fontId="9" fillId="5" borderId="27" xfId="0" applyFont="1" applyFill="1" applyBorder="1" applyAlignment="1">
      <alignment horizontal="center"/>
    </xf>
    <xf numFmtId="0" fontId="0" fillId="5" borderId="16" xfId="0" applyFill="1" applyBorder="1"/>
    <xf numFmtId="0" fontId="9" fillId="7" borderId="28" xfId="0" applyFont="1" applyFill="1" applyBorder="1" applyAlignment="1">
      <alignment horizontal="center"/>
    </xf>
    <xf numFmtId="0" fontId="9" fillId="7" borderId="6" xfId="0" applyFont="1" applyFill="1" applyBorder="1" applyAlignment="1">
      <alignment horizontal="center"/>
    </xf>
    <xf numFmtId="1" fontId="0" fillId="7" borderId="5" xfId="0" applyNumberFormat="1" applyFill="1" applyBorder="1" applyAlignment="1">
      <alignment horizontal="center"/>
    </xf>
    <xf numFmtId="0" fontId="0" fillId="7" borderId="29" xfId="0" applyFill="1" applyBorder="1"/>
    <xf numFmtId="0" fontId="0" fillId="7" borderId="30" xfId="0" applyFill="1" applyBorder="1"/>
    <xf numFmtId="0" fontId="0" fillId="7" borderId="31" xfId="0" applyFill="1" applyBorder="1"/>
    <xf numFmtId="0" fontId="0" fillId="7" borderId="32" xfId="0" applyFill="1" applyBorder="1"/>
    <xf numFmtId="0" fontId="56" fillId="8" borderId="11" xfId="0" applyFont="1" applyFill="1" applyBorder="1" applyAlignment="1" applyProtection="1">
      <alignment horizontal="center"/>
      <protection locked="0"/>
    </xf>
    <xf numFmtId="0" fontId="56" fillId="8" borderId="33" xfId="0" applyFont="1" applyFill="1" applyBorder="1" applyAlignment="1" applyProtection="1">
      <alignment horizontal="center"/>
      <protection locked="0"/>
    </xf>
    <xf numFmtId="1" fontId="56" fillId="8" borderId="34" xfId="0" applyNumberFormat="1" applyFont="1" applyFill="1" applyBorder="1" applyAlignment="1" applyProtection="1">
      <alignment horizontal="center"/>
      <protection locked="0"/>
    </xf>
    <xf numFmtId="164" fontId="56" fillId="8" borderId="34" xfId="0" applyNumberFormat="1" applyFont="1" applyFill="1" applyBorder="1" applyAlignment="1" applyProtection="1">
      <alignment horizontal="center"/>
      <protection locked="0"/>
    </xf>
    <xf numFmtId="0" fontId="19" fillId="8" borderId="11" xfId="0" applyFont="1" applyFill="1" applyBorder="1" applyAlignment="1" applyProtection="1">
      <alignment horizontal="center"/>
      <protection locked="0"/>
    </xf>
    <xf numFmtId="1" fontId="19" fillId="8" borderId="34" xfId="0" applyNumberFormat="1" applyFont="1" applyFill="1" applyBorder="1" applyAlignment="1" applyProtection="1">
      <alignment horizontal="center"/>
      <protection locked="0"/>
    </xf>
    <xf numFmtId="2" fontId="19" fillId="8" borderId="35" xfId="0" applyNumberFormat="1" applyFont="1" applyFill="1" applyBorder="1" applyAlignment="1" applyProtection="1">
      <alignment horizontal="center"/>
      <protection locked="0"/>
    </xf>
    <xf numFmtId="1" fontId="19" fillId="8" borderId="12" xfId="0" applyNumberFormat="1" applyFont="1" applyFill="1" applyBorder="1" applyAlignment="1" applyProtection="1">
      <alignment horizontal="center"/>
      <protection locked="0"/>
    </xf>
    <xf numFmtId="0" fontId="0" fillId="2" borderId="10" xfId="0" applyFill="1" applyBorder="1" applyAlignment="1">
      <alignment horizontal="center"/>
    </xf>
    <xf numFmtId="0" fontId="10" fillId="8" borderId="11" xfId="0" applyFont="1" applyFill="1" applyBorder="1" applyAlignment="1" applyProtection="1">
      <alignment horizontal="center"/>
      <protection locked="0"/>
    </xf>
    <xf numFmtId="0" fontId="10" fillId="8" borderId="12" xfId="0" applyFont="1" applyFill="1" applyBorder="1" applyAlignment="1" applyProtection="1">
      <alignment horizontal="center"/>
      <protection locked="0"/>
    </xf>
    <xf numFmtId="0" fontId="19" fillId="2" borderId="8" xfId="0" applyFont="1" applyFill="1" applyBorder="1" applyAlignment="1">
      <alignment horizontal="center"/>
    </xf>
    <xf numFmtId="0" fontId="9" fillId="2" borderId="13" xfId="0" applyFont="1" applyFill="1" applyBorder="1" applyAlignment="1">
      <alignment horizontal="center"/>
    </xf>
    <xf numFmtId="0" fontId="0" fillId="2" borderId="13" xfId="0" applyFill="1" applyBorder="1" applyAlignment="1">
      <alignment horizontal="center"/>
    </xf>
    <xf numFmtId="164" fontId="7" fillId="4" borderId="2" xfId="0" applyNumberFormat="1" applyFont="1" applyFill="1" applyBorder="1" applyAlignment="1">
      <alignment horizontal="center"/>
    </xf>
    <xf numFmtId="0" fontId="0" fillId="3" borderId="36" xfId="0" applyFill="1" applyBorder="1"/>
    <xf numFmtId="0" fontId="0" fillId="3" borderId="37" xfId="0" applyFill="1" applyBorder="1"/>
    <xf numFmtId="2" fontId="0" fillId="4" borderId="2" xfId="0" applyNumberFormat="1" applyFill="1" applyBorder="1" applyAlignment="1">
      <alignment horizontal="right"/>
    </xf>
    <xf numFmtId="0" fontId="24" fillId="2" borderId="8" xfId="0" applyFont="1" applyFill="1" applyBorder="1" applyAlignment="1">
      <alignment horizontal="center"/>
    </xf>
    <xf numFmtId="0" fontId="19" fillId="8" borderId="12" xfId="0" applyFont="1" applyFill="1" applyBorder="1"/>
    <xf numFmtId="0" fontId="25" fillId="2" borderId="8" xfId="0" applyFont="1" applyFill="1" applyBorder="1" applyAlignment="1">
      <alignment horizontal="center"/>
    </xf>
    <xf numFmtId="0" fontId="0" fillId="0" borderId="8" xfId="0" applyBorder="1" applyAlignment="1">
      <alignment horizontal="center"/>
    </xf>
    <xf numFmtId="2" fontId="0" fillId="4" borderId="2" xfId="0" applyNumberFormat="1" applyFill="1" applyBorder="1"/>
    <xf numFmtId="0" fontId="46" fillId="0" borderId="8" xfId="0" applyFont="1" applyBorder="1" applyAlignment="1">
      <alignment horizontal="center"/>
    </xf>
    <xf numFmtId="0" fontId="0" fillId="0" borderId="13" xfId="0" applyBorder="1" applyAlignment="1">
      <alignment horizontal="center"/>
    </xf>
    <xf numFmtId="0" fontId="10" fillId="2" borderId="1" xfId="0" applyFont="1" applyFill="1" applyBorder="1" applyAlignment="1">
      <alignment horizontal="center"/>
    </xf>
    <xf numFmtId="1" fontId="4" fillId="4" borderId="1" xfId="0" applyNumberFormat="1" applyFont="1" applyFill="1" applyBorder="1" applyAlignment="1">
      <alignment horizontal="center"/>
    </xf>
    <xf numFmtId="0" fontId="64" fillId="0" borderId="0" xfId="0" applyFont="1"/>
    <xf numFmtId="0" fontId="55" fillId="0" borderId="0" xfId="0" applyFont="1"/>
    <xf numFmtId="0" fontId="57" fillId="0" borderId="0" xfId="0" applyFont="1"/>
    <xf numFmtId="0" fontId="0" fillId="8" borderId="1" xfId="0" applyFill="1" applyBorder="1"/>
    <xf numFmtId="0" fontId="59" fillId="0" borderId="13" xfId="0" applyFont="1" applyBorder="1" applyAlignment="1">
      <alignment horizontal="center"/>
    </xf>
    <xf numFmtId="0" fontId="67" fillId="2" borderId="9" xfId="0" applyFont="1" applyFill="1" applyBorder="1" applyAlignment="1">
      <alignment horizontal="center"/>
    </xf>
    <xf numFmtId="0" fontId="10" fillId="9" borderId="38" xfId="0" applyFont="1" applyFill="1" applyBorder="1" applyAlignment="1">
      <alignment horizontal="center"/>
    </xf>
    <xf numFmtId="0" fontId="4" fillId="9" borderId="39" xfId="0" applyFont="1" applyFill="1" applyBorder="1" applyAlignment="1">
      <alignment horizontal="center"/>
    </xf>
    <xf numFmtId="0" fontId="56" fillId="8" borderId="34" xfId="0" applyFont="1" applyFill="1" applyBorder="1" applyAlignment="1" applyProtection="1">
      <alignment horizontal="center"/>
      <protection locked="0"/>
    </xf>
    <xf numFmtId="0" fontId="38" fillId="10" borderId="0" xfId="1" applyFill="1" applyBorder="1" applyAlignment="1" applyProtection="1">
      <alignment horizontal="center"/>
    </xf>
    <xf numFmtId="0" fontId="7" fillId="0" borderId="0" xfId="0" applyFont="1" applyFill="1" applyBorder="1" applyAlignment="1">
      <alignment horizontal="center"/>
    </xf>
    <xf numFmtId="0" fontId="1" fillId="0" borderId="0" xfId="0" applyFont="1" applyFill="1" applyBorder="1" applyAlignment="1">
      <alignment horizontal="center"/>
    </xf>
    <xf numFmtId="0" fontId="59" fillId="0" borderId="22" xfId="0" applyFont="1" applyBorder="1" applyAlignment="1">
      <alignment horizontal="center"/>
    </xf>
    <xf numFmtId="0" fontId="20" fillId="4" borderId="1" xfId="0" applyFont="1" applyFill="1" applyBorder="1" applyAlignment="1">
      <alignment horizontal="center"/>
    </xf>
    <xf numFmtId="1" fontId="0" fillId="4" borderId="1" xfId="0" applyNumberFormat="1" applyFill="1" applyBorder="1" applyAlignment="1">
      <alignment horizontal="center"/>
    </xf>
    <xf numFmtId="1" fontId="0" fillId="4" borderId="5" xfId="0" applyNumberFormat="1" applyFill="1" applyBorder="1" applyAlignment="1">
      <alignment horizontal="center"/>
    </xf>
    <xf numFmtId="0" fontId="0" fillId="0" borderId="0" xfId="0" applyBorder="1" applyAlignment="1">
      <alignment horizontal="center" vertical="center"/>
    </xf>
    <xf numFmtId="1" fontId="0" fillId="0" borderId="0" xfId="0" applyNumberFormat="1" applyFill="1" applyBorder="1" applyAlignment="1">
      <alignment horizontal="center"/>
    </xf>
    <xf numFmtId="0" fontId="9" fillId="0" borderId="0" xfId="0" applyFont="1" applyFill="1" applyBorder="1" applyAlignment="1">
      <alignment horizontal="center"/>
    </xf>
    <xf numFmtId="0" fontId="19" fillId="8" borderId="33" xfId="0" applyFont="1" applyFill="1" applyBorder="1" applyAlignment="1" applyProtection="1">
      <alignment horizontal="center"/>
      <protection locked="0"/>
    </xf>
    <xf numFmtId="0" fontId="10" fillId="0" borderId="0" xfId="0" applyFont="1" applyFill="1" applyBorder="1" applyAlignment="1">
      <alignment horizontal="center"/>
    </xf>
    <xf numFmtId="0" fontId="0" fillId="2" borderId="16" xfId="0" applyFill="1" applyBorder="1"/>
    <xf numFmtId="0" fontId="3" fillId="2" borderId="40" xfId="0" applyFont="1" applyFill="1" applyBorder="1" applyAlignment="1">
      <alignment horizontal="center"/>
    </xf>
    <xf numFmtId="0" fontId="0" fillId="4" borderId="8" xfId="0" applyFill="1" applyBorder="1" applyAlignment="1">
      <alignment vertical="center"/>
    </xf>
    <xf numFmtId="0" fontId="6" fillId="4" borderId="13" xfId="0" applyFont="1" applyFill="1" applyBorder="1" applyAlignment="1">
      <alignment horizontal="center" vertical="center"/>
    </xf>
    <xf numFmtId="0" fontId="9" fillId="2" borderId="11" xfId="0" applyFont="1" applyFill="1" applyBorder="1" applyAlignment="1">
      <alignment horizontal="center"/>
    </xf>
    <xf numFmtId="0" fontId="9" fillId="2" borderId="33" xfId="0" applyFont="1" applyFill="1" applyBorder="1" applyAlignment="1">
      <alignment horizontal="center"/>
    </xf>
    <xf numFmtId="0" fontId="9" fillId="2" borderId="34" xfId="0" applyFont="1" applyFill="1" applyBorder="1" applyAlignment="1">
      <alignment horizontal="center"/>
    </xf>
    <xf numFmtId="0" fontId="9" fillId="4" borderId="12" xfId="0" applyFont="1" applyFill="1" applyBorder="1" applyAlignment="1">
      <alignment horizontal="center" vertical="center"/>
    </xf>
    <xf numFmtId="0" fontId="9" fillId="4" borderId="41" xfId="0" applyFont="1" applyFill="1" applyBorder="1" applyAlignment="1">
      <alignment horizontal="center" vertical="center"/>
    </xf>
    <xf numFmtId="2" fontId="7" fillId="4" borderId="42" xfId="0" applyNumberFormat="1" applyFont="1" applyFill="1" applyBorder="1" applyAlignment="1">
      <alignment horizontal="center" vertical="center"/>
    </xf>
    <xf numFmtId="0" fontId="9" fillId="4" borderId="34" xfId="0" applyFont="1" applyFill="1" applyBorder="1" applyAlignment="1">
      <alignment horizontal="center" vertical="center"/>
    </xf>
    <xf numFmtId="0" fontId="19" fillId="10" borderId="0" xfId="0" applyFont="1" applyFill="1" applyBorder="1" applyAlignment="1">
      <alignment horizontal="center"/>
    </xf>
    <xf numFmtId="0" fontId="10" fillId="10" borderId="0" xfId="0" applyFont="1" applyFill="1" applyBorder="1" applyAlignment="1" applyProtection="1">
      <alignment horizontal="center"/>
      <protection locked="0"/>
    </xf>
    <xf numFmtId="0" fontId="9" fillId="10" borderId="0" xfId="0" applyFont="1" applyFill="1" applyBorder="1" applyAlignment="1">
      <alignment horizontal="center"/>
    </xf>
    <xf numFmtId="0" fontId="0" fillId="10" borderId="0" xfId="0" applyFill="1" applyBorder="1" applyAlignment="1">
      <alignment horizontal="center"/>
    </xf>
    <xf numFmtId="0" fontId="4" fillId="4" borderId="1" xfId="0" applyFont="1" applyFill="1" applyBorder="1" applyAlignment="1">
      <alignment horizontal="center"/>
    </xf>
    <xf numFmtId="0" fontId="58" fillId="0" borderId="0" xfId="0" applyFont="1" applyFill="1" applyBorder="1" applyAlignment="1" applyProtection="1">
      <alignment horizontal="center"/>
      <protection locked="0"/>
    </xf>
    <xf numFmtId="0" fontId="20" fillId="0" borderId="0" xfId="0" applyFont="1" applyFill="1" applyBorder="1" applyAlignment="1">
      <alignment horizontal="right"/>
    </xf>
    <xf numFmtId="0" fontId="0" fillId="0" borderId="0" xfId="0" applyFill="1" applyBorder="1"/>
    <xf numFmtId="0" fontId="19" fillId="2" borderId="7" xfId="0" applyFont="1" applyFill="1" applyBorder="1" applyAlignment="1">
      <alignment horizontal="center"/>
    </xf>
    <xf numFmtId="0" fontId="9" fillId="2" borderId="43" xfId="0" applyFont="1" applyFill="1" applyBorder="1" applyAlignment="1">
      <alignment horizontal="center"/>
    </xf>
    <xf numFmtId="0" fontId="10" fillId="8" borderId="33" xfId="0" applyFont="1" applyFill="1" applyBorder="1" applyAlignment="1" applyProtection="1">
      <alignment horizontal="center"/>
      <protection locked="0"/>
    </xf>
    <xf numFmtId="0" fontId="0" fillId="2" borderId="19" xfId="0" applyFill="1" applyBorder="1" applyAlignment="1">
      <alignment horizontal="center"/>
    </xf>
    <xf numFmtId="0" fontId="0" fillId="2" borderId="16" xfId="0" applyFill="1" applyBorder="1" applyAlignment="1">
      <alignment horizontal="center"/>
    </xf>
    <xf numFmtId="0" fontId="19" fillId="4" borderId="44" xfId="0" applyFont="1" applyFill="1" applyBorder="1" applyAlignment="1">
      <alignment horizontal="center"/>
    </xf>
    <xf numFmtId="1" fontId="0" fillId="4" borderId="25" xfId="0" applyNumberFormat="1" applyFill="1" applyBorder="1" applyAlignment="1">
      <alignment horizontal="center"/>
    </xf>
    <xf numFmtId="0" fontId="9" fillId="4" borderId="28" xfId="0" applyFont="1" applyFill="1" applyBorder="1" applyAlignment="1">
      <alignment horizontal="center"/>
    </xf>
    <xf numFmtId="0" fontId="19" fillId="4" borderId="45" xfId="0" applyFont="1" applyFill="1" applyBorder="1" applyAlignment="1">
      <alignment horizontal="center"/>
    </xf>
    <xf numFmtId="0" fontId="19" fillId="4" borderId="46" xfId="0" applyFont="1" applyFill="1" applyBorder="1" applyAlignment="1">
      <alignment horizontal="center"/>
    </xf>
    <xf numFmtId="0" fontId="7" fillId="10" borderId="0" xfId="0" applyFont="1" applyFill="1" applyBorder="1" applyAlignment="1">
      <alignment horizontal="center"/>
    </xf>
    <xf numFmtId="0" fontId="20" fillId="10" borderId="0" xfId="0" applyFont="1" applyFill="1" applyBorder="1" applyAlignment="1">
      <alignment horizontal="right"/>
    </xf>
    <xf numFmtId="0" fontId="0" fillId="10" borderId="0" xfId="0" applyFill="1" applyBorder="1"/>
    <xf numFmtId="0" fontId="58" fillId="10" borderId="0" xfId="0" applyFont="1" applyFill="1" applyBorder="1" applyAlignment="1" applyProtection="1">
      <alignment horizontal="center"/>
      <protection locked="0"/>
    </xf>
    <xf numFmtId="0" fontId="0" fillId="4" borderId="2" xfId="0" applyFill="1" applyBorder="1"/>
    <xf numFmtId="0" fontId="0" fillId="8" borderId="17" xfId="0" applyFill="1" applyBorder="1"/>
    <xf numFmtId="0" fontId="0" fillId="4" borderId="29" xfId="0" applyFill="1" applyBorder="1" applyAlignment="1">
      <alignment horizontal="centerContinuous"/>
    </xf>
    <xf numFmtId="0" fontId="0" fillId="4" borderId="31" xfId="0" applyFill="1" applyBorder="1" applyAlignment="1">
      <alignment horizontal="centerContinuous"/>
    </xf>
    <xf numFmtId="0" fontId="0" fillId="4" borderId="47" xfId="0" applyFill="1" applyBorder="1" applyAlignment="1">
      <alignment horizontal="centerContinuous"/>
    </xf>
    <xf numFmtId="0" fontId="0" fillId="4" borderId="30" xfId="0" applyFill="1" applyBorder="1" applyAlignment="1">
      <alignment horizontal="centerContinuous"/>
    </xf>
    <xf numFmtId="0" fontId="0" fillId="4" borderId="32" xfId="0" applyFill="1" applyBorder="1" applyAlignment="1">
      <alignment horizontal="centerContinuous"/>
    </xf>
    <xf numFmtId="0" fontId="0" fillId="4" borderId="48" xfId="0" applyFill="1" applyBorder="1" applyAlignment="1">
      <alignment horizontal="centerContinuous"/>
    </xf>
    <xf numFmtId="0" fontId="1" fillId="5" borderId="16" xfId="0" applyFont="1" applyFill="1" applyBorder="1" applyAlignment="1">
      <alignment vertical="center"/>
    </xf>
    <xf numFmtId="0" fontId="11" fillId="4" borderId="2" xfId="0" applyFont="1" applyFill="1" applyBorder="1" applyAlignment="1">
      <alignment horizontal="center" vertical="center"/>
    </xf>
    <xf numFmtId="0" fontId="6" fillId="4" borderId="7" xfId="0" applyFont="1" applyFill="1" applyBorder="1" applyAlignment="1">
      <alignment horizontal="center" vertical="center"/>
    </xf>
    <xf numFmtId="174" fontId="12" fillId="4" borderId="2" xfId="0" applyNumberFormat="1" applyFont="1" applyFill="1" applyBorder="1" applyAlignment="1">
      <alignment horizontal="center"/>
    </xf>
    <xf numFmtId="174" fontId="12" fillId="4" borderId="1" xfId="0" applyNumberFormat="1" applyFont="1" applyFill="1" applyBorder="1" applyAlignment="1">
      <alignment horizontal="center"/>
    </xf>
    <xf numFmtId="1" fontId="71" fillId="4" borderId="17" xfId="0" applyNumberFormat="1" applyFont="1" applyFill="1" applyBorder="1" applyAlignment="1">
      <alignment horizontal="center" vertical="center"/>
    </xf>
    <xf numFmtId="2" fontId="12" fillId="3" borderId="2" xfId="0" applyNumberFormat="1" applyFont="1" applyFill="1" applyBorder="1" applyAlignment="1">
      <alignment horizontal="center"/>
    </xf>
    <xf numFmtId="0" fontId="67" fillId="2" borderId="13" xfId="0" applyFont="1" applyFill="1" applyBorder="1" applyAlignment="1">
      <alignment horizontal="center"/>
    </xf>
    <xf numFmtId="1" fontId="58" fillId="8" borderId="12" xfId="0" applyNumberFormat="1" applyFont="1" applyFill="1" applyBorder="1" applyAlignment="1" applyProtection="1">
      <alignment horizontal="center"/>
      <protection locked="0"/>
    </xf>
    <xf numFmtId="0" fontId="10" fillId="4" borderId="15" xfId="0" applyFont="1" applyFill="1" applyBorder="1" applyAlignment="1">
      <alignment horizontal="center"/>
    </xf>
    <xf numFmtId="0" fontId="10" fillId="4" borderId="21" xfId="0" applyFont="1" applyFill="1" applyBorder="1" applyAlignment="1">
      <alignment horizontal="center"/>
    </xf>
    <xf numFmtId="1" fontId="74" fillId="4" borderId="2" xfId="0" applyNumberFormat="1" applyFont="1" applyFill="1" applyBorder="1" applyAlignment="1">
      <alignment horizontal="center"/>
    </xf>
    <xf numFmtId="1" fontId="74" fillId="4" borderId="1" xfId="0" applyNumberFormat="1" applyFont="1" applyFill="1" applyBorder="1" applyAlignment="1">
      <alignment horizontal="center"/>
    </xf>
    <xf numFmtId="1" fontId="74" fillId="4" borderId="5" xfId="0" applyNumberFormat="1" applyFont="1" applyFill="1" applyBorder="1" applyAlignment="1">
      <alignment horizontal="center"/>
    </xf>
    <xf numFmtId="0" fontId="10" fillId="4" borderId="49" xfId="0" applyFont="1" applyFill="1" applyBorder="1" applyAlignment="1">
      <alignment horizontal="center"/>
    </xf>
    <xf numFmtId="0" fontId="7" fillId="4" borderId="2" xfId="0" applyFont="1" applyFill="1" applyBorder="1" applyAlignment="1">
      <alignment horizontal="center"/>
    </xf>
    <xf numFmtId="0" fontId="9" fillId="4" borderId="50" xfId="0" applyFont="1" applyFill="1" applyBorder="1" applyAlignment="1">
      <alignment horizontal="center"/>
    </xf>
    <xf numFmtId="0" fontId="19" fillId="2" borderId="21" xfId="0" applyFont="1" applyFill="1" applyBorder="1" applyAlignment="1">
      <alignment horizontal="center"/>
    </xf>
    <xf numFmtId="0" fontId="7" fillId="2" borderId="51" xfId="0" applyFont="1" applyFill="1" applyBorder="1" applyAlignment="1">
      <alignment horizontal="center"/>
    </xf>
    <xf numFmtId="0" fontId="0" fillId="2" borderId="24" xfId="0" applyFill="1" applyBorder="1" applyAlignment="1">
      <alignment horizontal="center"/>
    </xf>
    <xf numFmtId="1" fontId="2" fillId="7" borderId="25" xfId="0" applyNumberFormat="1" applyFont="1" applyFill="1" applyBorder="1" applyAlignment="1">
      <alignment horizontal="center"/>
    </xf>
    <xf numFmtId="1" fontId="19" fillId="5" borderId="1" xfId="0" applyNumberFormat="1" applyFont="1" applyFill="1" applyBorder="1" applyAlignment="1">
      <alignment horizontal="center"/>
    </xf>
    <xf numFmtId="0" fontId="0" fillId="2" borderId="15" xfId="0" applyFill="1" applyBorder="1" applyAlignment="1">
      <alignment horizontal="center"/>
    </xf>
    <xf numFmtId="0" fontId="0" fillId="2" borderId="21" xfId="0" applyFill="1" applyBorder="1" applyAlignment="1">
      <alignment horizontal="center"/>
    </xf>
    <xf numFmtId="0" fontId="0" fillId="4" borderId="6" xfId="0" applyFill="1" applyBorder="1" applyAlignment="1">
      <alignment horizontal="center"/>
    </xf>
    <xf numFmtId="0" fontId="0" fillId="9" borderId="1" xfId="0" applyFill="1" applyBorder="1" applyAlignment="1">
      <alignment horizontal="center"/>
    </xf>
    <xf numFmtId="0" fontId="9" fillId="0" borderId="0" xfId="0" applyFont="1" applyAlignment="1">
      <alignment horizontal="center"/>
    </xf>
    <xf numFmtId="0" fontId="0" fillId="4" borderId="8" xfId="0" applyFill="1" applyBorder="1" applyAlignment="1">
      <alignment horizontal="center"/>
    </xf>
    <xf numFmtId="1" fontId="0" fillId="9" borderId="1" xfId="0" applyNumberFormat="1" applyFill="1" applyBorder="1" applyAlignment="1">
      <alignment horizontal="center"/>
    </xf>
    <xf numFmtId="2" fontId="0" fillId="9" borderId="1" xfId="0" applyNumberFormat="1" applyFill="1" applyBorder="1" applyAlignment="1">
      <alignment horizontal="center"/>
    </xf>
    <xf numFmtId="0" fontId="79" fillId="4" borderId="1" xfId="0" applyFont="1" applyFill="1" applyBorder="1" applyAlignment="1">
      <alignment horizontal="center"/>
    </xf>
    <xf numFmtId="0" fontId="0" fillId="0" borderId="0" xfId="0" applyAlignment="1">
      <alignment vertical="center"/>
    </xf>
    <xf numFmtId="2" fontId="0" fillId="0" borderId="13" xfId="0" applyNumberFormat="1" applyBorder="1" applyAlignment="1">
      <alignment horizontal="center"/>
    </xf>
    <xf numFmtId="0" fontId="24" fillId="0" borderId="8" xfId="0" applyFont="1" applyBorder="1" applyAlignment="1">
      <alignment horizontal="center"/>
    </xf>
    <xf numFmtId="0" fontId="51" fillId="0" borderId="8" xfId="0" applyFont="1" applyBorder="1" applyAlignment="1">
      <alignment horizontal="center"/>
    </xf>
    <xf numFmtId="0" fontId="24" fillId="0" borderId="40" xfId="0" applyFont="1" applyBorder="1" applyAlignment="1">
      <alignment horizontal="center"/>
    </xf>
    <xf numFmtId="2" fontId="0" fillId="0" borderId="19" xfId="0" applyNumberFormat="1" applyBorder="1" applyAlignment="1">
      <alignment horizontal="center"/>
    </xf>
    <xf numFmtId="0" fontId="47" fillId="0" borderId="2" xfId="0" applyFont="1" applyBorder="1" applyAlignment="1">
      <alignment horizontal="center"/>
    </xf>
    <xf numFmtId="178" fontId="0" fillId="0" borderId="0" xfId="0" applyNumberFormat="1"/>
    <xf numFmtId="0" fontId="75" fillId="2" borderId="1" xfId="0" applyFont="1" applyFill="1" applyBorder="1" applyAlignment="1">
      <alignment horizontal="center"/>
    </xf>
    <xf numFmtId="0" fontId="0" fillId="0" borderId="0" xfId="0" applyAlignment="1"/>
    <xf numFmtId="1" fontId="10" fillId="5" borderId="24" xfId="0" applyNumberFormat="1" applyFont="1" applyFill="1" applyBorder="1" applyAlignment="1">
      <alignment horizontal="center"/>
    </xf>
    <xf numFmtId="1" fontId="10" fillId="4" borderId="24" xfId="0" applyNumberFormat="1" applyFont="1" applyFill="1" applyBorder="1" applyAlignment="1">
      <alignment horizontal="center"/>
    </xf>
    <xf numFmtId="0" fontId="7" fillId="5" borderId="1" xfId="0" applyFont="1" applyFill="1" applyBorder="1" applyAlignment="1">
      <alignment horizontal="center"/>
    </xf>
    <xf numFmtId="0" fontId="7" fillId="5" borderId="16" xfId="0" applyFont="1" applyFill="1" applyBorder="1" applyAlignment="1">
      <alignment horizontal="center"/>
    </xf>
    <xf numFmtId="0" fontId="0" fillId="0" borderId="0" xfId="0" applyAlignment="1">
      <alignment horizontal="centerContinuous"/>
    </xf>
    <xf numFmtId="0" fontId="9" fillId="0" borderId="8" xfId="0" applyFont="1" applyBorder="1" applyAlignment="1">
      <alignment horizontal="centerContinuous"/>
    </xf>
    <xf numFmtId="0" fontId="72" fillId="9" borderId="20" xfId="0" applyFont="1" applyFill="1" applyBorder="1" applyAlignment="1">
      <alignment horizontal="centerContinuous"/>
    </xf>
    <xf numFmtId="0" fontId="73" fillId="9" borderId="0" xfId="0" applyFont="1" applyFill="1" applyBorder="1" applyAlignment="1">
      <alignment horizontal="centerContinuous"/>
    </xf>
    <xf numFmtId="0" fontId="73" fillId="9" borderId="0" xfId="0" applyFont="1" applyFill="1" applyAlignment="1">
      <alignment horizontal="centerContinuous"/>
    </xf>
    <xf numFmtId="0" fontId="0" fillId="9" borderId="0" xfId="0" applyFill="1" applyAlignment="1">
      <alignment horizontal="centerContinuous"/>
    </xf>
    <xf numFmtId="0" fontId="82" fillId="2" borderId="8" xfId="0" applyFont="1" applyFill="1" applyBorder="1" applyAlignment="1">
      <alignment horizontal="center"/>
    </xf>
    <xf numFmtId="0" fontId="0" fillId="0" borderId="0" xfId="0" applyBorder="1"/>
    <xf numFmtId="0" fontId="83" fillId="0" borderId="0" xfId="0" applyFont="1"/>
    <xf numFmtId="0" fontId="83" fillId="2" borderId="0" xfId="0" applyFont="1" applyFill="1" applyBorder="1"/>
    <xf numFmtId="1" fontId="11" fillId="4" borderId="52" xfId="0" applyNumberFormat="1" applyFont="1" applyFill="1" applyBorder="1" applyAlignment="1">
      <alignment horizontal="center" vertical="center"/>
    </xf>
    <xf numFmtId="0" fontId="15" fillId="2" borderId="53" xfId="0" applyFont="1" applyFill="1" applyBorder="1" applyAlignment="1"/>
    <xf numFmtId="1" fontId="0" fillId="2" borderId="53" xfId="0" applyNumberFormat="1" applyFill="1" applyBorder="1" applyAlignment="1">
      <alignment horizontal="center"/>
    </xf>
    <xf numFmtId="0" fontId="0" fillId="4" borderId="18" xfId="0" applyFill="1" applyBorder="1"/>
    <xf numFmtId="1" fontId="15" fillId="4" borderId="18" xfId="0" applyNumberFormat="1" applyFont="1" applyFill="1" applyBorder="1" applyAlignment="1"/>
    <xf numFmtId="0" fontId="4" fillId="2" borderId="44" xfId="0" applyFont="1" applyFill="1" applyBorder="1" applyAlignment="1">
      <alignment vertical="center"/>
    </xf>
    <xf numFmtId="0" fontId="4" fillId="4" borderId="21" xfId="0" applyFont="1" applyFill="1" applyBorder="1" applyAlignment="1"/>
    <xf numFmtId="0" fontId="4" fillId="4" borderId="54" xfId="0" applyFont="1" applyFill="1" applyBorder="1" applyAlignment="1"/>
    <xf numFmtId="0" fontId="0" fillId="2" borderId="40" xfId="0" applyFill="1" applyBorder="1"/>
    <xf numFmtId="1" fontId="11" fillId="4" borderId="55" xfId="0" applyNumberFormat="1" applyFont="1" applyFill="1" applyBorder="1" applyAlignment="1">
      <alignment horizontal="center" vertical="center"/>
    </xf>
    <xf numFmtId="0" fontId="19" fillId="8" borderId="34" xfId="0" applyFont="1" applyFill="1" applyBorder="1" applyAlignment="1" applyProtection="1">
      <alignment horizontal="center"/>
      <protection locked="0"/>
    </xf>
    <xf numFmtId="0" fontId="7" fillId="2" borderId="1" xfId="0" applyFont="1" applyFill="1" applyBorder="1" applyAlignment="1">
      <alignment horizontal="center"/>
    </xf>
    <xf numFmtId="1" fontId="58" fillId="8" borderId="1" xfId="0" applyNumberFormat="1" applyFont="1" applyFill="1" applyBorder="1" applyAlignment="1" applyProtection="1">
      <alignment horizontal="center"/>
      <protection locked="0"/>
    </xf>
    <xf numFmtId="0" fontId="7" fillId="2" borderId="25" xfId="0" applyFont="1" applyFill="1" applyBorder="1" applyAlignment="1">
      <alignment horizontal="center"/>
    </xf>
    <xf numFmtId="1" fontId="58" fillId="8" borderId="25" xfId="0" applyNumberFormat="1" applyFont="1" applyFill="1" applyBorder="1" applyAlignment="1" applyProtection="1">
      <alignment horizontal="center"/>
      <protection locked="0"/>
    </xf>
    <xf numFmtId="0" fontId="9" fillId="2" borderId="28" xfId="0" applyFont="1" applyFill="1" applyBorder="1" applyAlignment="1">
      <alignment horizontal="center"/>
    </xf>
    <xf numFmtId="0" fontId="0" fillId="2" borderId="4" xfId="0" applyFill="1" applyBorder="1" applyAlignment="1">
      <alignment horizontal="center"/>
    </xf>
    <xf numFmtId="0" fontId="10" fillId="2" borderId="56" xfId="0" applyFont="1" applyFill="1" applyBorder="1" applyAlignment="1">
      <alignment horizontal="center"/>
    </xf>
    <xf numFmtId="0" fontId="10" fillId="2" borderId="22" xfId="0" applyFont="1" applyFill="1" applyBorder="1" applyAlignment="1">
      <alignment horizontal="center"/>
    </xf>
    <xf numFmtId="1" fontId="19" fillId="8" borderId="35" xfId="0" applyNumberFormat="1" applyFont="1" applyFill="1" applyBorder="1" applyAlignment="1" applyProtection="1">
      <alignment horizontal="center"/>
      <protection locked="0"/>
    </xf>
    <xf numFmtId="0" fontId="67" fillId="2" borderId="8" xfId="0" applyFont="1" applyFill="1" applyBorder="1" applyAlignment="1">
      <alignment horizontal="center"/>
    </xf>
    <xf numFmtId="0" fontId="0" fillId="2" borderId="3" xfId="0" applyFill="1" applyBorder="1" applyAlignment="1"/>
    <xf numFmtId="0" fontId="4" fillId="2" borderId="3" xfId="0" applyFont="1" applyFill="1" applyBorder="1" applyAlignment="1"/>
    <xf numFmtId="0" fontId="69" fillId="0" borderId="2" xfId="0" applyFont="1" applyBorder="1" applyAlignment="1">
      <alignment horizontal="center"/>
    </xf>
    <xf numFmtId="0" fontId="10" fillId="0" borderId="0" xfId="0" applyFont="1" applyFill="1" applyBorder="1" applyAlignment="1">
      <alignment horizontal="center" vertical="center" textRotation="90"/>
    </xf>
    <xf numFmtId="0" fontId="0" fillId="0" borderId="0" xfId="0" applyFill="1" applyBorder="1" applyAlignment="1">
      <alignment vertical="center"/>
    </xf>
    <xf numFmtId="0" fontId="6" fillId="0" borderId="0" xfId="0" applyFont="1" applyFill="1" applyBorder="1" applyAlignment="1">
      <alignment horizontal="center" vertical="center"/>
    </xf>
    <xf numFmtId="1" fontId="7"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6" fillId="4" borderId="18" xfId="0" applyFont="1" applyFill="1" applyBorder="1" applyAlignment="1">
      <alignment horizontal="center" vertical="center"/>
    </xf>
    <xf numFmtId="1" fontId="7" fillId="4" borderId="34" xfId="0" applyNumberFormat="1" applyFont="1" applyFill="1" applyBorder="1" applyAlignment="1">
      <alignment horizontal="center" vertical="center"/>
    </xf>
    <xf numFmtId="1" fontId="7" fillId="4" borderId="12" xfId="0" applyNumberFormat="1" applyFont="1" applyFill="1" applyBorder="1" applyAlignment="1">
      <alignment horizontal="center" vertical="center"/>
    </xf>
    <xf numFmtId="0" fontId="6" fillId="4" borderId="52" xfId="0" applyFont="1" applyFill="1" applyBorder="1" applyAlignment="1">
      <alignment horizontal="center" vertical="center"/>
    </xf>
    <xf numFmtId="0" fontId="9" fillId="4" borderId="57" xfId="0" applyFont="1" applyFill="1" applyBorder="1" applyAlignment="1">
      <alignment horizontal="center" vertical="center"/>
    </xf>
    <xf numFmtId="0" fontId="67" fillId="2" borderId="18" xfId="0" applyFont="1" applyFill="1" applyBorder="1" applyAlignment="1">
      <alignment horizontal="center"/>
    </xf>
    <xf numFmtId="0" fontId="19" fillId="4" borderId="8" xfId="0" applyFont="1" applyFill="1" applyBorder="1" applyAlignment="1">
      <alignment vertical="center"/>
    </xf>
    <xf numFmtId="0" fontId="19" fillId="4" borderId="51" xfId="0" applyFont="1" applyFill="1" applyBorder="1" applyAlignment="1">
      <alignment vertical="center"/>
    </xf>
    <xf numFmtId="0" fontId="85" fillId="0" borderId="13" xfId="0" applyFont="1" applyBorder="1"/>
    <xf numFmtId="0" fontId="86" fillId="0" borderId="45" xfId="0" applyFont="1" applyBorder="1"/>
    <xf numFmtId="0" fontId="68" fillId="0" borderId="8" xfId="0" applyFont="1" applyBorder="1" applyAlignment="1">
      <alignment horizontal="left"/>
    </xf>
    <xf numFmtId="0" fontId="89" fillId="0" borderId="8" xfId="0" applyFont="1" applyBorder="1" applyAlignment="1">
      <alignment horizontal="left"/>
    </xf>
    <xf numFmtId="1" fontId="2" fillId="7" borderId="5" xfId="0" applyNumberFormat="1" applyFont="1" applyFill="1" applyBorder="1" applyAlignment="1">
      <alignment horizontal="center"/>
    </xf>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quotePrefix="1"/>
    <xf numFmtId="0" fontId="19" fillId="0" borderId="1" xfId="0" applyFont="1" applyBorder="1"/>
    <xf numFmtId="165" fontId="0" fillId="0" borderId="0" xfId="0" applyNumberFormat="1"/>
    <xf numFmtId="164" fontId="0" fillId="0" borderId="0" xfId="0" applyNumberFormat="1" applyAlignment="1">
      <alignment horizontal="right"/>
    </xf>
    <xf numFmtId="2" fontId="0" fillId="0" borderId="0" xfId="0" applyNumberFormat="1" applyAlignment="1">
      <alignment horizontal="right"/>
    </xf>
    <xf numFmtId="0" fontId="23" fillId="0" borderId="0" xfId="0" applyFont="1" applyFill="1" applyBorder="1" applyAlignment="1">
      <alignment horizontal="center"/>
    </xf>
    <xf numFmtId="2" fontId="0" fillId="0" borderId="0" xfId="0" applyNumberFormat="1" applyBorder="1"/>
    <xf numFmtId="0" fontId="65" fillId="0" borderId="0" xfId="1" applyFont="1" applyBorder="1" applyAlignment="1" applyProtection="1">
      <alignment horizontal="center"/>
    </xf>
    <xf numFmtId="0" fontId="94" fillId="0" borderId="34" xfId="1" applyFont="1" applyBorder="1" applyAlignment="1" applyProtection="1"/>
    <xf numFmtId="0" fontId="98" fillId="0" borderId="0" xfId="0" applyFont="1"/>
    <xf numFmtId="0" fontId="2" fillId="0" borderId="0" xfId="0" applyFont="1"/>
    <xf numFmtId="0" fontId="94" fillId="0" borderId="35" xfId="1" applyFont="1" applyBorder="1" applyAlignment="1" applyProtection="1"/>
    <xf numFmtId="0" fontId="99" fillId="0" borderId="34" xfId="1" applyFont="1" applyBorder="1" applyAlignment="1" applyProtection="1"/>
    <xf numFmtId="0" fontId="99" fillId="0" borderId="33" xfId="1" applyFont="1" applyBorder="1" applyAlignment="1" applyProtection="1"/>
    <xf numFmtId="0" fontId="99" fillId="0" borderId="12" xfId="1" applyFont="1" applyBorder="1" applyAlignment="1" applyProtection="1"/>
    <xf numFmtId="0" fontId="100" fillId="0" borderId="8" xfId="0" applyFont="1" applyBorder="1" applyAlignment="1">
      <alignment horizontal="left"/>
    </xf>
    <xf numFmtId="0" fontId="101" fillId="0" borderId="13" xfId="1" applyFont="1" applyBorder="1" applyAlignment="1" applyProtection="1">
      <alignment horizontal="left"/>
    </xf>
    <xf numFmtId="0" fontId="68" fillId="0" borderId="0" xfId="0" applyFont="1"/>
    <xf numFmtId="0" fontId="102" fillId="0" borderId="0" xfId="0" applyFont="1"/>
    <xf numFmtId="0" fontId="95" fillId="0" borderId="13" xfId="1" applyFont="1" applyBorder="1" applyAlignment="1" applyProtection="1">
      <alignment horizontal="center"/>
    </xf>
    <xf numFmtId="0" fontId="44" fillId="7" borderId="0" xfId="0" applyFont="1" applyFill="1" applyBorder="1" applyAlignment="1">
      <alignment horizontal="centerContinuous" vertical="center"/>
    </xf>
    <xf numFmtId="0" fontId="45" fillId="7" borderId="0" xfId="0" applyFont="1" applyFill="1" applyAlignment="1">
      <alignment horizontal="centerContinuous" vertical="center"/>
    </xf>
    <xf numFmtId="0" fontId="0" fillId="7" borderId="0" xfId="0" applyFill="1" applyAlignment="1">
      <alignment horizontal="centerContinuous" vertical="center"/>
    </xf>
    <xf numFmtId="0" fontId="103" fillId="7" borderId="20" xfId="0" applyFont="1" applyFill="1" applyBorder="1" applyAlignment="1">
      <alignment horizontal="centerContinuous" vertical="center"/>
    </xf>
    <xf numFmtId="1" fontId="11" fillId="4" borderId="16" xfId="0" applyNumberFormat="1" applyFont="1" applyFill="1" applyBorder="1" applyAlignment="1">
      <alignment horizontal="center"/>
    </xf>
    <xf numFmtId="0" fontId="11" fillId="0" borderId="0" xfId="0" applyFont="1" applyFill="1" applyBorder="1" applyAlignment="1">
      <alignment horizontal="center"/>
    </xf>
    <xf numFmtId="0" fontId="11" fillId="4" borderId="1" xfId="0" applyFont="1" applyFill="1" applyBorder="1" applyAlignment="1">
      <alignment horizontal="center"/>
    </xf>
    <xf numFmtId="0" fontId="79" fillId="2" borderId="8" xfId="0" applyFont="1" applyFill="1" applyBorder="1" applyAlignment="1">
      <alignment horizontal="center"/>
    </xf>
    <xf numFmtId="0" fontId="79" fillId="2" borderId="1" xfId="0" applyFont="1" applyFill="1" applyBorder="1" applyAlignment="1">
      <alignment horizontal="center"/>
    </xf>
    <xf numFmtId="0" fontId="11" fillId="2" borderId="13" xfId="0" applyFont="1" applyFill="1" applyBorder="1" applyAlignment="1">
      <alignment horizontal="center"/>
    </xf>
    <xf numFmtId="0" fontId="0" fillId="7" borderId="0" xfId="0" applyFill="1" applyAlignment="1">
      <alignment horizontal="centerContinuous"/>
    </xf>
    <xf numFmtId="0" fontId="72" fillId="9" borderId="0" xfId="0" applyFont="1" applyFill="1" applyBorder="1" applyAlignment="1">
      <alignment horizontal="centerContinuous"/>
    </xf>
    <xf numFmtId="0" fontId="19" fillId="2" borderId="1" xfId="0" applyFont="1" applyFill="1" applyBorder="1"/>
    <xf numFmtId="0" fontId="55" fillId="2" borderId="1" xfId="0" applyFont="1" applyFill="1" applyBorder="1"/>
    <xf numFmtId="0" fontId="110" fillId="2" borderId="1" xfId="0" applyFont="1" applyFill="1" applyBorder="1"/>
    <xf numFmtId="0" fontId="5" fillId="4" borderId="1" xfId="0" applyFont="1" applyFill="1" applyBorder="1"/>
    <xf numFmtId="0" fontId="53" fillId="2" borderId="1" xfId="0" applyFont="1" applyFill="1" applyBorder="1"/>
    <xf numFmtId="164" fontId="0" fillId="4" borderId="1" xfId="0" applyNumberFormat="1" applyFill="1" applyBorder="1"/>
    <xf numFmtId="0" fontId="6" fillId="4" borderId="1" xfId="0" applyFont="1" applyFill="1" applyBorder="1"/>
    <xf numFmtId="164" fontId="7" fillId="4" borderId="16" xfId="0" applyNumberFormat="1" applyFont="1" applyFill="1" applyBorder="1" applyAlignment="1">
      <alignment horizontal="center"/>
    </xf>
    <xf numFmtId="0" fontId="0" fillId="0" borderId="0" xfId="0" applyAlignment="1">
      <alignment horizontal="right"/>
    </xf>
    <xf numFmtId="164" fontId="7" fillId="4" borderId="8" xfId="0" applyNumberFormat="1" applyFont="1" applyFill="1" applyBorder="1"/>
    <xf numFmtId="0" fontId="7" fillId="4" borderId="18" xfId="0" applyFont="1" applyFill="1" applyBorder="1" applyAlignment="1">
      <alignment horizontal="center"/>
    </xf>
    <xf numFmtId="164" fontId="7" fillId="4" borderId="13" xfId="0" applyNumberFormat="1" applyFont="1" applyFill="1" applyBorder="1" applyAlignment="1">
      <alignment horizontal="left"/>
    </xf>
    <xf numFmtId="0" fontId="11" fillId="4" borderId="36" xfId="0" applyFont="1" applyFill="1" applyBorder="1" applyAlignment="1">
      <alignment horizontal="center"/>
    </xf>
    <xf numFmtId="1" fontId="11" fillId="4" borderId="2" xfId="0" applyNumberFormat="1" applyFont="1" applyFill="1" applyBorder="1" applyAlignment="1">
      <alignment horizontal="center"/>
    </xf>
    <xf numFmtId="0" fontId="11" fillId="2" borderId="1" xfId="0" applyFont="1" applyFill="1" applyBorder="1"/>
    <xf numFmtId="0" fontId="0" fillId="0" borderId="0" xfId="0" applyFill="1"/>
    <xf numFmtId="0" fontId="114" fillId="0" borderId="0" xfId="0" applyFont="1"/>
    <xf numFmtId="0" fontId="115" fillId="0" borderId="0" xfId="0" applyFont="1"/>
    <xf numFmtId="0" fontId="0" fillId="0" borderId="0" xfId="0" applyFill="1" applyAlignment="1">
      <alignment horizontal="centerContinuous"/>
    </xf>
    <xf numFmtId="0" fontId="73" fillId="0" borderId="0" xfId="0" applyFont="1" applyFill="1" applyAlignment="1">
      <alignment horizontal="centerContinuous"/>
    </xf>
    <xf numFmtId="0" fontId="116" fillId="0" borderId="0" xfId="0" applyFont="1" applyFill="1" applyAlignment="1"/>
    <xf numFmtId="0" fontId="117" fillId="0" borderId="0" xfId="0" applyFont="1" applyFill="1" applyAlignment="1"/>
    <xf numFmtId="0" fontId="37" fillId="4" borderId="1" xfId="0" applyFont="1" applyFill="1" applyBorder="1"/>
    <xf numFmtId="2" fontId="10" fillId="4" borderId="1" xfId="0" applyNumberFormat="1" applyFont="1" applyFill="1" applyBorder="1"/>
    <xf numFmtId="164" fontId="7" fillId="0" borderId="0" xfId="0" applyNumberFormat="1" applyFont="1" applyFill="1" applyBorder="1" applyAlignment="1">
      <alignment horizontal="center"/>
    </xf>
    <xf numFmtId="9" fontId="3" fillId="0" borderId="0" xfId="0" applyNumberFormat="1" applyFont="1" applyFill="1" applyBorder="1" applyAlignment="1">
      <alignment horizontal="center" vertical="center"/>
    </xf>
    <xf numFmtId="164" fontId="7" fillId="0" borderId="0" xfId="0" applyNumberFormat="1" applyFont="1" applyFill="1" applyBorder="1"/>
    <xf numFmtId="164" fontId="7" fillId="0" borderId="0" xfId="0" applyNumberFormat="1" applyFont="1" applyFill="1" applyBorder="1" applyAlignment="1">
      <alignment horizontal="left"/>
    </xf>
    <xf numFmtId="0" fontId="38" fillId="0" borderId="0" xfId="1" applyBorder="1" applyAlignment="1" applyProtection="1">
      <alignment horizontal="center"/>
    </xf>
    <xf numFmtId="2" fontId="0" fillId="4" borderId="0" xfId="0" applyNumberFormat="1" applyFill="1" applyBorder="1"/>
    <xf numFmtId="164" fontId="10" fillId="4" borderId="1" xfId="0" applyNumberFormat="1" applyFont="1" applyFill="1" applyBorder="1" applyAlignment="1">
      <alignment horizontal="center"/>
    </xf>
    <xf numFmtId="0" fontId="10" fillId="0" borderId="1" xfId="0" applyFont="1" applyBorder="1" applyAlignment="1">
      <alignment horizontal="center" vertical="center"/>
    </xf>
    <xf numFmtId="9" fontId="120" fillId="4" borderId="1" xfId="0" applyNumberFormat="1" applyFont="1" applyFill="1" applyBorder="1" applyAlignment="1">
      <alignment horizontal="center"/>
    </xf>
    <xf numFmtId="0" fontId="63" fillId="2" borderId="1" xfId="0" applyFont="1" applyFill="1" applyBorder="1"/>
    <xf numFmtId="0" fontId="122" fillId="11" borderId="1" xfId="1" applyFont="1" applyFill="1" applyBorder="1" applyAlignment="1" applyProtection="1"/>
    <xf numFmtId="0" fontId="96" fillId="11" borderId="1" xfId="1" applyFont="1" applyFill="1" applyBorder="1" applyAlignment="1" applyProtection="1"/>
    <xf numFmtId="0" fontId="0" fillId="0" borderId="0" xfId="0" applyFill="1" applyAlignment="1">
      <alignment vertical="center"/>
    </xf>
    <xf numFmtId="0" fontId="3" fillId="2" borderId="1" xfId="0" applyFont="1" applyFill="1" applyBorder="1"/>
    <xf numFmtId="0" fontId="8" fillId="4" borderId="1" xfId="0" applyFont="1" applyFill="1" applyBorder="1" applyAlignment="1">
      <alignment horizontal="center"/>
    </xf>
    <xf numFmtId="0" fontId="3" fillId="4" borderId="1" xfId="0" applyFont="1" applyFill="1" applyBorder="1"/>
    <xf numFmtId="0" fontId="38" fillId="0" borderId="17" xfId="1" applyFill="1" applyBorder="1" applyAlignment="1" applyProtection="1">
      <alignment horizontal="center"/>
    </xf>
    <xf numFmtId="0" fontId="3" fillId="2" borderId="18" xfId="0" applyFont="1" applyFill="1" applyBorder="1" applyAlignment="1">
      <alignment horizontal="left"/>
    </xf>
    <xf numFmtId="0" fontId="122" fillId="0" borderId="0" xfId="1" applyFont="1" applyFill="1" applyBorder="1" applyAlignment="1" applyProtection="1"/>
    <xf numFmtId="2" fontId="0" fillId="0" borderId="0" xfId="0" applyNumberFormat="1" applyFill="1" applyBorder="1"/>
    <xf numFmtId="0" fontId="100" fillId="12" borderId="8" xfId="0" applyFont="1" applyFill="1" applyBorder="1" applyAlignment="1">
      <alignment horizontal="left"/>
    </xf>
    <xf numFmtId="0" fontId="100" fillId="13" borderId="8" xfId="0" applyFont="1" applyFill="1" applyBorder="1" applyAlignment="1">
      <alignment horizontal="left"/>
    </xf>
    <xf numFmtId="0" fontId="100" fillId="6" borderId="8" xfId="0" applyFont="1" applyFill="1" applyBorder="1" applyAlignment="1">
      <alignment horizontal="left"/>
    </xf>
    <xf numFmtId="0" fontId="100" fillId="14" borderId="8" xfId="0" applyFont="1" applyFill="1" applyBorder="1" applyAlignment="1">
      <alignment horizontal="left"/>
    </xf>
    <xf numFmtId="0" fontId="100" fillId="14" borderId="7" xfId="0" applyFont="1" applyFill="1" applyBorder="1" applyAlignment="1">
      <alignment horizontal="left"/>
    </xf>
    <xf numFmtId="0" fontId="100" fillId="15" borderId="8" xfId="0" applyFont="1" applyFill="1" applyBorder="1" applyAlignment="1">
      <alignment horizontal="left"/>
    </xf>
    <xf numFmtId="0" fontId="128" fillId="0" borderId="13" xfId="1" applyFont="1" applyBorder="1" applyAlignment="1" applyProtection="1">
      <alignment horizontal="left"/>
    </xf>
    <xf numFmtId="0" fontId="129" fillId="0" borderId="13" xfId="1" applyFont="1" applyBorder="1" applyAlignment="1" applyProtection="1">
      <alignment horizontal="left"/>
    </xf>
    <xf numFmtId="0" fontId="131" fillId="0" borderId="13" xfId="1" applyFont="1" applyFill="1" applyBorder="1" applyAlignment="1" applyProtection="1">
      <alignment horizontal="left"/>
    </xf>
    <xf numFmtId="0" fontId="132" fillId="0" borderId="13" xfId="1" applyFont="1" applyBorder="1" applyAlignment="1" applyProtection="1">
      <alignment horizontal="left"/>
    </xf>
    <xf numFmtId="0" fontId="100" fillId="16" borderId="8" xfId="0" applyFont="1" applyFill="1" applyBorder="1" applyAlignment="1">
      <alignment horizontal="left"/>
    </xf>
    <xf numFmtId="0" fontId="133" fillId="0" borderId="13" xfId="1" applyFont="1" applyBorder="1" applyAlignment="1" applyProtection="1">
      <alignment horizontal="left"/>
    </xf>
    <xf numFmtId="0" fontId="72" fillId="9" borderId="56" xfId="0" applyFont="1" applyFill="1" applyBorder="1" applyAlignment="1">
      <alignment horizontal="centerContinuous"/>
    </xf>
    <xf numFmtId="0" fontId="45" fillId="9" borderId="58" xfId="0" applyFont="1" applyFill="1" applyBorder="1" applyAlignment="1">
      <alignment horizontal="centerContinuous"/>
    </xf>
    <xf numFmtId="0" fontId="73" fillId="9" borderId="58" xfId="0" applyFont="1" applyFill="1" applyBorder="1" applyAlignment="1">
      <alignment horizontal="centerContinuous"/>
    </xf>
    <xf numFmtId="0" fontId="45" fillId="9" borderId="59" xfId="0" applyFont="1" applyFill="1" applyBorder="1" applyAlignment="1">
      <alignment horizontal="centerContinuous"/>
    </xf>
    <xf numFmtId="2" fontId="10" fillId="0" borderId="0" xfId="0" applyNumberFormat="1" applyFont="1" applyFill="1" applyBorder="1"/>
    <xf numFmtId="0" fontId="10" fillId="2" borderId="1" xfId="0" applyFont="1" applyFill="1" applyBorder="1" applyAlignment="1">
      <alignment vertical="center"/>
    </xf>
    <xf numFmtId="0" fontId="136" fillId="2" borderId="1" xfId="0" applyFont="1" applyFill="1" applyBorder="1" applyAlignment="1">
      <alignment horizontal="center" vertical="center"/>
    </xf>
    <xf numFmtId="0" fontId="138" fillId="11" borderId="1" xfId="1" applyFont="1" applyFill="1" applyBorder="1" applyAlignment="1" applyProtection="1"/>
    <xf numFmtId="0" fontId="4" fillId="2" borderId="8" xfId="0" applyFont="1" applyFill="1" applyBorder="1" applyAlignment="1">
      <alignment horizontal="center"/>
    </xf>
    <xf numFmtId="0" fontId="4" fillId="2" borderId="1" xfId="0" applyFont="1" applyFill="1" applyBorder="1"/>
    <xf numFmtId="0" fontId="4" fillId="4" borderId="8" xfId="0" applyFont="1" applyFill="1" applyBorder="1" applyAlignment="1">
      <alignment horizontal="center"/>
    </xf>
    <xf numFmtId="0" fontId="19" fillId="4" borderId="1" xfId="0" applyFont="1" applyFill="1" applyBorder="1"/>
    <xf numFmtId="0" fontId="122" fillId="11" borderId="1" xfId="1" applyFont="1" applyFill="1" applyBorder="1" applyAlignment="1" applyProtection="1">
      <alignment horizontal="left"/>
    </xf>
    <xf numFmtId="0" fontId="0" fillId="2" borderId="8" xfId="0" applyFill="1" applyBorder="1" applyAlignment="1">
      <alignment horizontal="left"/>
    </xf>
    <xf numFmtId="0" fontId="10" fillId="2" borderId="7" xfId="0" applyFont="1" applyFill="1" applyBorder="1" applyAlignment="1">
      <alignment horizontal="center"/>
    </xf>
    <xf numFmtId="0" fontId="10" fillId="2" borderId="8" xfId="0" applyFont="1" applyFill="1" applyBorder="1" applyAlignment="1">
      <alignment horizontal="center"/>
    </xf>
    <xf numFmtId="0" fontId="0" fillId="0" borderId="60" xfId="0" applyBorder="1"/>
    <xf numFmtId="0" fontId="0" fillId="0" borderId="61" xfId="0" applyBorder="1"/>
    <xf numFmtId="164" fontId="7" fillId="4" borderId="62" xfId="0" applyNumberFormat="1" applyFont="1" applyFill="1" applyBorder="1" applyAlignment="1">
      <alignment horizontal="left"/>
    </xf>
    <xf numFmtId="164" fontId="7" fillId="4" borderId="63" xfId="0" applyNumberFormat="1" applyFont="1" applyFill="1" applyBorder="1"/>
    <xf numFmtId="0" fontId="7" fillId="4" borderId="64" xfId="0" applyFont="1" applyFill="1" applyBorder="1" applyAlignment="1">
      <alignment horizontal="center"/>
    </xf>
    <xf numFmtId="2" fontId="11" fillId="4" borderId="16" xfId="0" applyNumberFormat="1" applyFont="1" applyFill="1" applyBorder="1" applyAlignment="1">
      <alignment horizontal="center"/>
    </xf>
    <xf numFmtId="2" fontId="11" fillId="4" borderId="1" xfId="0" applyNumberFormat="1" applyFont="1" applyFill="1" applyBorder="1" applyAlignment="1">
      <alignment horizontal="center"/>
    </xf>
    <xf numFmtId="0" fontId="0" fillId="4" borderId="0" xfId="0" applyFill="1"/>
    <xf numFmtId="2" fontId="140" fillId="0" borderId="0" xfId="0" applyNumberFormat="1" applyFont="1" applyBorder="1" applyAlignment="1">
      <alignment horizontal="centerContinuous"/>
    </xf>
    <xf numFmtId="2" fontId="0" fillId="0" borderId="0" xfId="0" applyNumberFormat="1" applyBorder="1" applyAlignment="1">
      <alignment horizontal="centerContinuous"/>
    </xf>
    <xf numFmtId="0" fontId="5" fillId="10" borderId="0" xfId="0" applyFont="1" applyFill="1" applyBorder="1" applyAlignment="1">
      <alignment horizontal="center"/>
    </xf>
    <xf numFmtId="0" fontId="140" fillId="9" borderId="56" xfId="0" applyFont="1" applyFill="1" applyBorder="1" applyAlignment="1">
      <alignment horizontal="centerContinuous"/>
    </xf>
    <xf numFmtId="0" fontId="0" fillId="0" borderId="18" xfId="0" applyBorder="1"/>
    <xf numFmtId="0" fontId="0" fillId="0" borderId="18" xfId="0" applyBorder="1" applyAlignment="1">
      <alignment horizontal="left"/>
    </xf>
    <xf numFmtId="0" fontId="0" fillId="0" borderId="13" xfId="0" applyBorder="1" applyAlignment="1">
      <alignment horizontal="left"/>
    </xf>
    <xf numFmtId="0" fontId="73" fillId="9" borderId="65" xfId="0" applyFont="1" applyFill="1" applyBorder="1" applyAlignment="1">
      <alignment horizontal="centerContinuous"/>
    </xf>
    <xf numFmtId="0" fontId="5" fillId="4" borderId="1" xfId="0" applyFont="1" applyFill="1" applyBorder="1" applyAlignment="1">
      <alignment horizontal="center"/>
    </xf>
    <xf numFmtId="0" fontId="145" fillId="12" borderId="17" xfId="1" applyFont="1" applyFill="1" applyBorder="1" applyAlignment="1" applyProtection="1">
      <alignment horizontal="center"/>
    </xf>
    <xf numFmtId="0" fontId="146" fillId="12" borderId="17" xfId="1" applyFont="1" applyFill="1" applyBorder="1" applyAlignment="1" applyProtection="1">
      <alignment horizontal="center"/>
    </xf>
    <xf numFmtId="0" fontId="149" fillId="0" borderId="13" xfId="1" applyFont="1" applyBorder="1" applyAlignment="1" applyProtection="1">
      <alignment horizontal="left"/>
    </xf>
    <xf numFmtId="0" fontId="67" fillId="0" borderId="0" xfId="0" applyFont="1" applyAlignment="1">
      <alignment horizontal="left"/>
    </xf>
    <xf numFmtId="2" fontId="19" fillId="2" borderId="2" xfId="0" applyNumberFormat="1" applyFont="1" applyFill="1" applyBorder="1" applyProtection="1">
      <protection locked="0"/>
    </xf>
    <xf numFmtId="0" fontId="19" fillId="2" borderId="1" xfId="0" applyFont="1" applyFill="1" applyBorder="1" applyProtection="1">
      <protection locked="0"/>
    </xf>
    <xf numFmtId="164" fontId="19" fillId="2" borderId="1" xfId="0" applyNumberFormat="1" applyFont="1" applyFill="1" applyBorder="1" applyProtection="1">
      <protection locked="0"/>
    </xf>
    <xf numFmtId="2" fontId="0" fillId="2" borderId="1" xfId="0" applyNumberFormat="1" applyFill="1" applyBorder="1" applyProtection="1">
      <protection locked="0"/>
    </xf>
    <xf numFmtId="2" fontId="19" fillId="2" borderId="1" xfId="0" applyNumberFormat="1" applyFont="1" applyFill="1" applyBorder="1" applyProtection="1">
      <protection locked="0"/>
    </xf>
    <xf numFmtId="164" fontId="7" fillId="2" borderId="11" xfId="0" applyNumberFormat="1" applyFont="1" applyFill="1" applyBorder="1" applyAlignment="1" applyProtection="1">
      <alignment horizontal="center"/>
      <protection locked="0"/>
    </xf>
    <xf numFmtId="164" fontId="7" fillId="2" borderId="34" xfId="0" applyNumberFormat="1" applyFont="1" applyFill="1" applyBorder="1" applyAlignment="1" applyProtection="1">
      <alignment horizontal="center"/>
      <protection locked="0"/>
    </xf>
    <xf numFmtId="0" fontId="7" fillId="2" borderId="12" xfId="0" applyFont="1" applyFill="1" applyBorder="1" applyAlignment="1" applyProtection="1">
      <alignment horizontal="center"/>
      <protection locked="0"/>
    </xf>
    <xf numFmtId="0" fontId="19" fillId="2" borderId="11" xfId="0" applyFont="1" applyFill="1" applyBorder="1" applyProtection="1">
      <protection locked="0"/>
    </xf>
    <xf numFmtId="0" fontId="19" fillId="2" borderId="34" xfId="0" applyFont="1" applyFill="1" applyBorder="1" applyProtection="1">
      <protection locked="0"/>
    </xf>
    <xf numFmtId="0" fontId="19" fillId="2" borderId="12" xfId="0" applyFont="1" applyFill="1" applyBorder="1" applyProtection="1">
      <protection locked="0"/>
    </xf>
    <xf numFmtId="2" fontId="11" fillId="2" borderId="1" xfId="0" applyNumberFormat="1" applyFont="1" applyFill="1" applyBorder="1" applyAlignment="1" applyProtection="1">
      <alignment horizontal="center"/>
      <protection locked="0"/>
    </xf>
    <xf numFmtId="0" fontId="63" fillId="2" borderId="1" xfId="0" applyFont="1" applyFill="1" applyBorder="1" applyProtection="1">
      <protection locked="0"/>
    </xf>
    <xf numFmtId="0" fontId="63" fillId="2" borderId="16" xfId="0" applyFont="1" applyFill="1" applyBorder="1" applyProtection="1">
      <protection locked="0"/>
    </xf>
    <xf numFmtId="174" fontId="19" fillId="2" borderId="1" xfId="0" applyNumberFormat="1" applyFont="1" applyFill="1" applyBorder="1" applyAlignment="1" applyProtection="1">
      <alignment horizontal="center"/>
      <protection locked="0"/>
    </xf>
    <xf numFmtId="164" fontId="19" fillId="2" borderId="1" xfId="0" applyNumberFormat="1" applyFont="1" applyFill="1" applyBorder="1" applyAlignment="1" applyProtection="1">
      <alignment horizontal="center"/>
      <protection locked="0"/>
    </xf>
    <xf numFmtId="0" fontId="19" fillId="2" borderId="1" xfId="0" applyFont="1" applyFill="1" applyBorder="1" applyAlignment="1" applyProtection="1">
      <alignment horizontal="center"/>
      <protection locked="0"/>
    </xf>
    <xf numFmtId="164" fontId="10" fillId="2" borderId="1" xfId="0" applyNumberFormat="1" applyFont="1" applyFill="1" applyBorder="1" applyAlignment="1" applyProtection="1">
      <alignment horizontal="center"/>
      <protection locked="0"/>
    </xf>
    <xf numFmtId="2" fontId="10" fillId="2" borderId="1" xfId="0" applyNumberFormat="1" applyFont="1" applyFill="1" applyBorder="1" applyAlignment="1" applyProtection="1">
      <alignment horizontal="center"/>
      <protection locked="0"/>
    </xf>
    <xf numFmtId="2" fontId="10" fillId="4" borderId="1" xfId="0" applyNumberFormat="1" applyFont="1" applyFill="1" applyBorder="1" applyAlignment="1" applyProtection="1">
      <alignment horizontal="center"/>
    </xf>
    <xf numFmtId="174" fontId="19" fillId="2" borderId="1" xfId="0" applyNumberFormat="1" applyFont="1" applyFill="1" applyBorder="1" applyProtection="1">
      <protection locked="0"/>
    </xf>
    <xf numFmtId="2" fontId="10" fillId="2" borderId="1" xfId="0" applyNumberFormat="1" applyFont="1" applyFill="1" applyBorder="1" applyProtection="1">
      <protection locked="0"/>
    </xf>
    <xf numFmtId="0" fontId="7" fillId="8" borderId="56" xfId="0" applyFont="1" applyFill="1" applyBorder="1" applyAlignment="1" applyProtection="1">
      <alignment vertical="center"/>
      <protection locked="0"/>
    </xf>
    <xf numFmtId="0" fontId="7" fillId="8" borderId="59" xfId="0" applyFont="1" applyFill="1" applyBorder="1" applyAlignment="1" applyProtection="1">
      <alignment vertical="center"/>
      <protection locked="0"/>
    </xf>
    <xf numFmtId="0" fontId="19" fillId="2" borderId="33" xfId="0" applyFont="1" applyFill="1" applyBorder="1" applyProtection="1">
      <protection locked="0"/>
    </xf>
    <xf numFmtId="0" fontId="19" fillId="2" borderId="11" xfId="0" applyFont="1" applyFill="1" applyBorder="1" applyAlignment="1" applyProtection="1">
      <alignment horizontal="center"/>
      <protection locked="0"/>
    </xf>
    <xf numFmtId="2" fontId="19" fillId="2" borderId="34" xfId="0" applyNumberFormat="1" applyFont="1" applyFill="1" applyBorder="1" applyAlignment="1" applyProtection="1">
      <alignment horizontal="center"/>
      <protection locked="0"/>
    </xf>
    <xf numFmtId="2" fontId="19" fillId="2" borderId="35" xfId="0" applyNumberFormat="1" applyFont="1" applyFill="1" applyBorder="1" applyAlignment="1" applyProtection="1">
      <alignment horizontal="center"/>
      <protection locked="0"/>
    </xf>
    <xf numFmtId="2" fontId="19" fillId="2" borderId="12" xfId="0" applyNumberFormat="1" applyFont="1" applyFill="1" applyBorder="1" applyAlignment="1" applyProtection="1">
      <alignment horizontal="center"/>
      <protection locked="0"/>
    </xf>
    <xf numFmtId="0" fontId="19" fillId="2" borderId="34" xfId="0" applyFont="1" applyFill="1" applyBorder="1" applyAlignment="1" applyProtection="1">
      <alignment horizontal="center"/>
      <protection locked="0"/>
    </xf>
    <xf numFmtId="0" fontId="19" fillId="2" borderId="12" xfId="0" applyFont="1" applyFill="1" applyBorder="1" applyAlignment="1" applyProtection="1">
      <alignment horizontal="center"/>
      <protection locked="0"/>
    </xf>
    <xf numFmtId="0" fontId="7" fillId="2" borderId="1" xfId="0" applyFont="1" applyFill="1" applyBorder="1" applyAlignment="1" applyProtection="1">
      <alignment horizontal="center"/>
      <protection locked="0"/>
    </xf>
    <xf numFmtId="0" fontId="19" fillId="2" borderId="1" xfId="0" applyFont="1" applyFill="1" applyBorder="1" applyAlignment="1" applyProtection="1">
      <alignment horizontal="right"/>
      <protection locked="0"/>
    </xf>
    <xf numFmtId="0" fontId="11" fillId="2" borderId="1" xfId="0" applyFont="1" applyFill="1" applyBorder="1" applyAlignment="1" applyProtection="1">
      <alignment horizontal="center"/>
      <protection locked="0"/>
    </xf>
    <xf numFmtId="1" fontId="19" fillId="2" borderId="34" xfId="0" applyNumberFormat="1" applyFont="1" applyFill="1" applyBorder="1" applyAlignment="1" applyProtection="1">
      <alignment horizontal="center"/>
      <protection locked="0"/>
    </xf>
    <xf numFmtId="1" fontId="19" fillId="2" borderId="12" xfId="0" applyNumberFormat="1" applyFont="1" applyFill="1" applyBorder="1" applyAlignment="1" applyProtection="1">
      <alignment horizontal="center"/>
      <protection locked="0"/>
    </xf>
    <xf numFmtId="0" fontId="19" fillId="2" borderId="33" xfId="0" applyFont="1" applyFill="1" applyBorder="1" applyAlignment="1" applyProtection="1">
      <alignment horizontal="center"/>
      <protection locked="0"/>
    </xf>
    <xf numFmtId="0" fontId="10" fillId="4" borderId="0" xfId="0" applyFont="1" applyFill="1" applyAlignment="1">
      <alignment horizontal="center"/>
    </xf>
    <xf numFmtId="0" fontId="14" fillId="3" borderId="28" xfId="0" applyFont="1" applyFill="1" applyBorder="1" applyAlignment="1">
      <alignment horizontal="center"/>
    </xf>
    <xf numFmtId="0" fontId="14" fillId="3" borderId="6" xfId="0" applyFont="1" applyFill="1" applyBorder="1" applyAlignment="1">
      <alignment horizontal="center"/>
    </xf>
    <xf numFmtId="0" fontId="10" fillId="4" borderId="16" xfId="0" applyFont="1" applyFill="1" applyBorder="1" applyAlignment="1">
      <alignment horizontal="center"/>
    </xf>
    <xf numFmtId="0" fontId="10" fillId="4" borderId="2" xfId="0" applyFont="1" applyFill="1" applyBorder="1" applyAlignment="1">
      <alignment horizontal="center"/>
    </xf>
    <xf numFmtId="0" fontId="10" fillId="2" borderId="8" xfId="0" applyFont="1" applyFill="1" applyBorder="1" applyAlignment="1">
      <alignment horizontal="left" vertical="center"/>
    </xf>
    <xf numFmtId="0" fontId="10" fillId="2" borderId="13"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40" xfId="0" applyFont="1" applyFill="1" applyBorder="1" applyAlignment="1">
      <alignment horizontal="left" vertical="center"/>
    </xf>
    <xf numFmtId="0" fontId="10" fillId="0" borderId="0" xfId="0" applyFont="1" applyFill="1" applyBorder="1" applyAlignment="1">
      <alignment horizontal="left" vertical="center"/>
    </xf>
    <xf numFmtId="0" fontId="10" fillId="4" borderId="7" xfId="0" applyFont="1" applyFill="1" applyBorder="1"/>
    <xf numFmtId="0" fontId="0" fillId="4" borderId="43" xfId="0" applyFill="1" applyBorder="1"/>
    <xf numFmtId="1" fontId="1" fillId="4" borderId="1" xfId="0" applyNumberFormat="1" applyFont="1" applyFill="1" applyBorder="1" applyAlignment="1">
      <alignment horizontal="center"/>
    </xf>
    <xf numFmtId="1" fontId="1" fillId="5" borderId="1" xfId="0" applyNumberFormat="1" applyFont="1" applyFill="1" applyBorder="1" applyAlignment="1">
      <alignment horizontal="center"/>
    </xf>
    <xf numFmtId="1" fontId="1" fillId="5" borderId="16" xfId="0" applyNumberFormat="1" applyFont="1" applyFill="1" applyBorder="1" applyAlignment="1">
      <alignment horizontal="center"/>
    </xf>
    <xf numFmtId="0" fontId="38" fillId="0" borderId="0" xfId="1" quotePrefix="1" applyAlignment="1" applyProtection="1">
      <alignment horizontal="center"/>
    </xf>
    <xf numFmtId="0" fontId="44" fillId="7" borderId="0" xfId="0" applyFont="1" applyFill="1" applyBorder="1" applyAlignment="1">
      <alignment horizontal="center"/>
    </xf>
    <xf numFmtId="0" fontId="45" fillId="0" borderId="0" xfId="0" applyFont="1" applyAlignment="1">
      <alignment horizontal="center"/>
    </xf>
    <xf numFmtId="0" fontId="0" fillId="0" borderId="7" xfId="0" applyBorder="1" applyAlignment="1">
      <alignment horizontal="center"/>
    </xf>
    <xf numFmtId="0" fontId="0" fillId="0" borderId="14" xfId="0" applyBorder="1"/>
    <xf numFmtId="0" fontId="0" fillId="0" borderId="26" xfId="0" applyBorder="1" applyAlignment="1">
      <alignment horizontal="center"/>
    </xf>
    <xf numFmtId="0" fontId="0" fillId="0" borderId="15" xfId="0" applyBorder="1"/>
    <xf numFmtId="0" fontId="0" fillId="0" borderId="21" xfId="0" applyBorder="1"/>
    <xf numFmtId="0" fontId="0" fillId="0" borderId="51" xfId="0" applyBorder="1" applyAlignment="1">
      <alignment horizontal="center"/>
    </xf>
    <xf numFmtId="0" fontId="10" fillId="0" borderId="2" xfId="0" applyFont="1" applyBorder="1"/>
    <xf numFmtId="0" fontId="43" fillId="7" borderId="0" xfId="0" applyFont="1" applyFill="1" applyBorder="1" applyAlignment="1">
      <alignment horizontal="center"/>
    </xf>
    <xf numFmtId="2" fontId="0" fillId="2" borderId="13" xfId="0" applyNumberFormat="1" applyFill="1" applyBorder="1" applyProtection="1">
      <protection locked="0"/>
    </xf>
    <xf numFmtId="0" fontId="0" fillId="4" borderId="40" xfId="0" applyFill="1" applyBorder="1" applyAlignment="1">
      <alignment horizontal="center"/>
    </xf>
    <xf numFmtId="1" fontId="179" fillId="3" borderId="1" xfId="0" applyNumberFormat="1" applyFont="1" applyFill="1" applyBorder="1" applyAlignment="1">
      <alignment horizontal="center"/>
    </xf>
    <xf numFmtId="0" fontId="10" fillId="0" borderId="15" xfId="0" applyFont="1" applyBorder="1" applyAlignment="1">
      <alignment horizontal="center"/>
    </xf>
    <xf numFmtId="0" fontId="10" fillId="0" borderId="4" xfId="0" applyFont="1" applyBorder="1" applyAlignment="1">
      <alignment horizontal="center"/>
    </xf>
    <xf numFmtId="0" fontId="19" fillId="2" borderId="49" xfId="0" applyFont="1" applyFill="1" applyBorder="1" applyAlignment="1">
      <alignment horizontal="center"/>
    </xf>
    <xf numFmtId="0" fontId="19" fillId="0" borderId="49" xfId="0" applyFont="1" applyFill="1" applyBorder="1" applyAlignment="1">
      <alignment horizontal="center"/>
    </xf>
    <xf numFmtId="0" fontId="7" fillId="0" borderId="7" xfId="0" applyFont="1" applyFill="1" applyBorder="1" applyAlignment="1">
      <alignment horizontal="center"/>
    </xf>
    <xf numFmtId="0" fontId="9" fillId="0" borderId="9" xfId="0" applyFont="1" applyFill="1" applyBorder="1" applyAlignment="1">
      <alignment horizontal="center"/>
    </xf>
    <xf numFmtId="0" fontId="0" fillId="17" borderId="0" xfId="0" applyFill="1"/>
    <xf numFmtId="0" fontId="10" fillId="0" borderId="13" xfId="0" applyFont="1" applyBorder="1" applyAlignment="1">
      <alignment horizontal="center"/>
    </xf>
    <xf numFmtId="0" fontId="10" fillId="8" borderId="24" xfId="0" applyFont="1" applyFill="1" applyBorder="1" applyAlignment="1" applyProtection="1">
      <alignment horizontal="center"/>
      <protection locked="0"/>
    </xf>
    <xf numFmtId="0" fontId="1" fillId="11" borderId="40" xfId="0" applyFont="1" applyFill="1" applyBorder="1" applyAlignment="1">
      <alignment horizontal="left"/>
    </xf>
    <xf numFmtId="0" fontId="1" fillId="11" borderId="19" xfId="0" applyFont="1" applyFill="1" applyBorder="1" applyAlignment="1">
      <alignment horizontal="left"/>
    </xf>
    <xf numFmtId="0" fontId="26" fillId="0" borderId="0" xfId="0" applyFont="1" applyFill="1" applyBorder="1" applyAlignment="1">
      <alignment horizontal="center"/>
    </xf>
    <xf numFmtId="0" fontId="20" fillId="4" borderId="21" xfId="0" applyFont="1" applyFill="1" applyBorder="1" applyAlignment="1">
      <alignment horizontal="right"/>
    </xf>
    <xf numFmtId="0" fontId="10" fillId="10" borderId="0" xfId="0" applyFont="1" applyFill="1" applyBorder="1" applyAlignment="1">
      <alignment horizontal="center"/>
    </xf>
    <xf numFmtId="0" fontId="10" fillId="0" borderId="16" xfId="0" applyFont="1" applyBorder="1" applyAlignment="1">
      <alignment horizontal="center"/>
    </xf>
    <xf numFmtId="0" fontId="0" fillId="4" borderId="16" xfId="0" applyFill="1" applyBorder="1"/>
    <xf numFmtId="174" fontId="10" fillId="0" borderId="0" xfId="0" applyNumberFormat="1" applyFont="1" applyFill="1" applyBorder="1" applyAlignment="1">
      <alignment horizontal="center"/>
    </xf>
    <xf numFmtId="0" fontId="183" fillId="0" borderId="0" xfId="0" applyFont="1"/>
    <xf numFmtId="0" fontId="20" fillId="10" borderId="14" xfId="0" applyFont="1" applyFill="1" applyBorder="1" applyAlignment="1">
      <alignment horizontal="center"/>
    </xf>
    <xf numFmtId="0" fontId="20" fillId="10" borderId="15" xfId="0" applyFont="1" applyFill="1" applyBorder="1" applyAlignment="1">
      <alignment horizontal="center"/>
    </xf>
    <xf numFmtId="0" fontId="20" fillId="10" borderId="21" xfId="0" applyFont="1" applyFill="1" applyBorder="1" applyAlignment="1">
      <alignment horizontal="center"/>
    </xf>
    <xf numFmtId="1" fontId="58" fillId="8" borderId="66" xfId="0" applyNumberFormat="1" applyFont="1" applyFill="1" applyBorder="1" applyAlignment="1" applyProtection="1">
      <alignment horizontal="center"/>
      <protection locked="0"/>
    </xf>
    <xf numFmtId="0" fontId="0" fillId="0" borderId="9" xfId="0" applyBorder="1" applyAlignment="1">
      <alignment horizontal="center"/>
    </xf>
    <xf numFmtId="0" fontId="11" fillId="10" borderId="0" xfId="0" applyFont="1" applyFill="1" applyBorder="1" applyAlignment="1">
      <alignment horizontal="center"/>
    </xf>
    <xf numFmtId="0" fontId="11" fillId="5" borderId="1" xfId="0" applyFont="1" applyFill="1" applyBorder="1" applyAlignment="1">
      <alignment horizontal="center"/>
    </xf>
    <xf numFmtId="0" fontId="11" fillId="5" borderId="16" xfId="0" applyFont="1" applyFill="1" applyBorder="1" applyAlignment="1">
      <alignment horizontal="center"/>
    </xf>
    <xf numFmtId="1" fontId="19" fillId="5" borderId="16" xfId="0" applyNumberFormat="1" applyFont="1" applyFill="1" applyBorder="1" applyAlignment="1">
      <alignment horizontal="center"/>
    </xf>
    <xf numFmtId="0" fontId="184" fillId="0" borderId="0" xfId="0" applyFont="1"/>
    <xf numFmtId="0" fontId="86" fillId="0" borderId="0" xfId="0" applyFont="1"/>
    <xf numFmtId="0" fontId="4" fillId="0" borderId="0" xfId="0" applyFont="1"/>
    <xf numFmtId="0" fontId="65" fillId="6" borderId="67" xfId="0" applyFont="1" applyFill="1" applyBorder="1" applyAlignment="1">
      <alignment horizontal="center"/>
    </xf>
    <xf numFmtId="0" fontId="65" fillId="6" borderId="41" xfId="0" applyFont="1" applyFill="1" applyBorder="1" applyAlignment="1">
      <alignment horizontal="center"/>
    </xf>
    <xf numFmtId="0" fontId="65" fillId="6" borderId="11" xfId="0" applyFont="1" applyFill="1" applyBorder="1" applyAlignment="1">
      <alignment horizontal="center"/>
    </xf>
    <xf numFmtId="0" fontId="0" fillId="18" borderId="8" xfId="0" applyFill="1" applyBorder="1"/>
    <xf numFmtId="0" fontId="67" fillId="18" borderId="18" xfId="0" applyFont="1" applyFill="1" applyBorder="1" applyAlignment="1">
      <alignment horizontal="center"/>
    </xf>
    <xf numFmtId="1" fontId="19" fillId="18" borderId="35" xfId="0" applyNumberFormat="1" applyFont="1" applyFill="1" applyBorder="1" applyAlignment="1" applyProtection="1">
      <alignment horizontal="center"/>
      <protection locked="0"/>
    </xf>
    <xf numFmtId="0" fontId="6" fillId="4" borderId="42" xfId="0" applyFont="1" applyFill="1" applyBorder="1" applyAlignment="1">
      <alignment horizontal="center" vertical="center"/>
    </xf>
    <xf numFmtId="1" fontId="7" fillId="4" borderId="35" xfId="0" applyNumberFormat="1" applyFont="1" applyFill="1" applyBorder="1" applyAlignment="1">
      <alignment horizontal="center" vertical="center"/>
    </xf>
    <xf numFmtId="0" fontId="6" fillId="2" borderId="8" xfId="0" applyFont="1" applyFill="1" applyBorder="1" applyAlignment="1">
      <alignment horizontal="center" vertical="center"/>
    </xf>
    <xf numFmtId="0" fontId="9" fillId="4" borderId="68" xfId="0" applyFont="1" applyFill="1" applyBorder="1" applyAlignment="1">
      <alignment horizontal="center" vertical="center"/>
    </xf>
    <xf numFmtId="1" fontId="7" fillId="19" borderId="34" xfId="0" applyNumberFormat="1" applyFont="1" applyFill="1" applyBorder="1" applyAlignment="1">
      <alignment horizontal="center" vertical="center"/>
    </xf>
    <xf numFmtId="0" fontId="19" fillId="3" borderId="69" xfId="0" applyFont="1" applyFill="1" applyBorder="1" applyAlignment="1">
      <alignment vertical="center"/>
    </xf>
    <xf numFmtId="0" fontId="6" fillId="3" borderId="32" xfId="0" applyFont="1" applyFill="1" applyBorder="1" applyAlignment="1">
      <alignment horizontal="center" vertical="center"/>
    </xf>
    <xf numFmtId="1" fontId="7" fillId="3" borderId="12" xfId="0" applyNumberFormat="1" applyFont="1" applyFill="1" applyBorder="1" applyAlignment="1">
      <alignment horizontal="center" vertical="center"/>
    </xf>
    <xf numFmtId="0" fontId="9" fillId="3" borderId="48" xfId="0" applyFont="1" applyFill="1" applyBorder="1" applyAlignment="1">
      <alignment horizontal="center" vertical="center"/>
    </xf>
    <xf numFmtId="0" fontId="19" fillId="0" borderId="0" xfId="0" applyFont="1" applyFill="1" applyBorder="1" applyAlignment="1" applyProtection="1">
      <alignment horizontal="center"/>
      <protection locked="0"/>
    </xf>
    <xf numFmtId="1" fontId="19" fillId="0" borderId="0" xfId="0" applyNumberFormat="1" applyFont="1" applyFill="1" applyBorder="1" applyAlignment="1" applyProtection="1">
      <alignment horizontal="center"/>
      <protection locked="0"/>
    </xf>
    <xf numFmtId="0" fontId="3" fillId="0" borderId="0" xfId="0" applyFont="1" applyFill="1" applyBorder="1" applyAlignment="1">
      <alignment horizontal="center"/>
    </xf>
    <xf numFmtId="0" fontId="5" fillId="0" borderId="0" xfId="0" applyFont="1" applyFill="1" applyBorder="1" applyAlignment="1">
      <alignment horizontal="center"/>
    </xf>
    <xf numFmtId="2" fontId="19" fillId="0" borderId="0" xfId="0" applyNumberFormat="1" applyFont="1" applyFill="1" applyBorder="1" applyAlignment="1" applyProtection="1">
      <alignment horizontal="center"/>
      <protection locked="0"/>
    </xf>
    <xf numFmtId="0" fontId="9" fillId="0" borderId="0" xfId="0" applyFont="1" applyFill="1" applyBorder="1"/>
    <xf numFmtId="1" fontId="12" fillId="0" borderId="0" xfId="0" applyNumberFormat="1" applyFont="1" applyFill="1" applyBorder="1" applyAlignment="1">
      <alignment horizontal="center"/>
    </xf>
    <xf numFmtId="2" fontId="12" fillId="0" borderId="0" xfId="0" applyNumberFormat="1" applyFont="1" applyFill="1" applyBorder="1" applyAlignment="1">
      <alignment horizontal="center"/>
    </xf>
    <xf numFmtId="0" fontId="4" fillId="0" borderId="0" xfId="0" applyFont="1" applyFill="1" applyBorder="1" applyAlignment="1">
      <alignment horizontal="center"/>
    </xf>
    <xf numFmtId="0" fontId="6" fillId="0" borderId="0" xfId="0" applyFont="1" applyFill="1" applyBorder="1" applyAlignment="1">
      <alignment horizontal="center"/>
    </xf>
    <xf numFmtId="1" fontId="7" fillId="0" borderId="0" xfId="0" applyNumberFormat="1" applyFont="1" applyFill="1" applyBorder="1" applyAlignment="1">
      <alignment horizontal="center"/>
    </xf>
    <xf numFmtId="0" fontId="16" fillId="0" borderId="0" xfId="0" applyFont="1" applyFill="1" applyBorder="1" applyAlignment="1">
      <alignment horizontal="center"/>
    </xf>
    <xf numFmtId="0" fontId="85" fillId="0" borderId="16" xfId="0" applyFont="1" applyBorder="1"/>
    <xf numFmtId="0" fontId="85" fillId="0" borderId="2" xfId="0" applyFont="1" applyBorder="1"/>
    <xf numFmtId="1" fontId="23" fillId="4" borderId="5" xfId="0" applyNumberFormat="1" applyFont="1" applyFill="1" applyBorder="1" applyAlignment="1">
      <alignment horizontal="center"/>
    </xf>
    <xf numFmtId="0" fontId="23" fillId="4" borderId="4" xfId="0" applyFont="1" applyFill="1" applyBorder="1" applyAlignment="1">
      <alignment horizontal="center"/>
    </xf>
    <xf numFmtId="1" fontId="19" fillId="8" borderId="45" xfId="0" applyNumberFormat="1" applyFont="1" applyFill="1" applyBorder="1" applyAlignment="1" applyProtection="1">
      <alignment horizontal="center"/>
      <protection locked="0"/>
    </xf>
    <xf numFmtId="0" fontId="40" fillId="0" borderId="0" xfId="0" applyFont="1" applyFill="1" applyBorder="1" applyAlignment="1">
      <alignment horizontal="center"/>
    </xf>
    <xf numFmtId="0" fontId="188" fillId="0" borderId="0" xfId="0" applyFont="1" applyAlignment="1">
      <alignment horizontal="right"/>
    </xf>
    <xf numFmtId="0" fontId="189" fillId="0" borderId="0" xfId="0" applyFont="1" applyBorder="1" applyAlignment="1">
      <alignment horizontal="center"/>
    </xf>
    <xf numFmtId="0" fontId="189" fillId="6" borderId="1" xfId="0" applyFont="1" applyFill="1" applyBorder="1" applyAlignment="1">
      <alignment horizontal="center"/>
    </xf>
    <xf numFmtId="0" fontId="58" fillId="6" borderId="1" xfId="0" applyFont="1" applyFill="1" applyBorder="1" applyAlignment="1">
      <alignment horizontal="center"/>
    </xf>
    <xf numFmtId="0" fontId="190" fillId="2" borderId="1" xfId="0" applyFont="1" applyFill="1" applyBorder="1" applyAlignment="1">
      <alignment horizontal="center"/>
    </xf>
    <xf numFmtId="0" fontId="140" fillId="2" borderId="14" xfId="0" applyFont="1" applyFill="1" applyBorder="1" applyAlignment="1">
      <alignment horizontal="center"/>
    </xf>
    <xf numFmtId="0" fontId="7" fillId="0" borderId="0" xfId="0" applyFont="1" applyFill="1" applyBorder="1" applyAlignment="1">
      <alignment horizontal="center" vertical="center"/>
    </xf>
    <xf numFmtId="0" fontId="0" fillId="0" borderId="70" xfId="0" applyFill="1" applyBorder="1" applyAlignment="1"/>
    <xf numFmtId="0" fontId="0" fillId="0" borderId="48" xfId="0" applyFill="1" applyBorder="1" applyAlignment="1"/>
    <xf numFmtId="0" fontId="140" fillId="0" borderId="0" xfId="0" applyFont="1" applyFill="1" applyBorder="1" applyAlignment="1">
      <alignment horizontal="center" vertical="center"/>
    </xf>
    <xf numFmtId="0" fontId="7" fillId="9" borderId="38" xfId="0" applyFont="1" applyFill="1" applyBorder="1" applyAlignment="1">
      <alignment horizontal="center"/>
    </xf>
    <xf numFmtId="0" fontId="1" fillId="9" borderId="37" xfId="0" applyFont="1" applyFill="1" applyBorder="1" applyAlignment="1">
      <alignment horizontal="center"/>
    </xf>
    <xf numFmtId="0" fontId="0" fillId="3" borderId="71" xfId="0" applyFill="1" applyBorder="1"/>
    <xf numFmtId="0" fontId="0" fillId="3" borderId="54" xfId="0" applyFill="1" applyBorder="1"/>
    <xf numFmtId="0" fontId="0" fillId="2" borderId="71" xfId="0" applyFill="1" applyBorder="1"/>
    <xf numFmtId="0" fontId="0" fillId="2" borderId="13" xfId="0" applyFill="1" applyBorder="1"/>
    <xf numFmtId="0" fontId="12" fillId="2" borderId="8" xfId="0" applyFont="1" applyFill="1" applyBorder="1" applyAlignment="1">
      <alignment horizontal="center"/>
    </xf>
    <xf numFmtId="0" fontId="192" fillId="17" borderId="17" xfId="1" applyFont="1" applyFill="1" applyBorder="1" applyAlignment="1" applyProtection="1">
      <alignment horizontal="center"/>
    </xf>
    <xf numFmtId="0" fontId="38" fillId="6" borderId="72" xfId="1" applyFill="1" applyBorder="1" applyAlignment="1" applyProtection="1">
      <alignment horizontal="center"/>
    </xf>
    <xf numFmtId="0" fontId="75" fillId="0" borderId="17" xfId="0" applyFont="1" applyBorder="1" applyAlignment="1">
      <alignment horizontal="center"/>
    </xf>
    <xf numFmtId="0" fontId="75" fillId="0" borderId="22" xfId="0" applyFont="1" applyBorder="1" applyAlignment="1">
      <alignment horizontal="center"/>
    </xf>
    <xf numFmtId="0" fontId="4" fillId="0" borderId="48" xfId="0" applyFont="1" applyBorder="1" applyAlignment="1">
      <alignment horizontal="center"/>
    </xf>
    <xf numFmtId="0" fontId="75" fillId="0" borderId="73" xfId="0" applyFont="1" applyBorder="1" applyAlignment="1">
      <alignment horizontal="center"/>
    </xf>
    <xf numFmtId="0" fontId="10" fillId="0" borderId="48" xfId="0" applyFont="1" applyBorder="1" applyAlignment="1">
      <alignment horizontal="center"/>
    </xf>
    <xf numFmtId="0" fontId="63" fillId="0" borderId="48" xfId="0" applyFont="1" applyBorder="1" applyAlignment="1">
      <alignment horizontal="center"/>
    </xf>
    <xf numFmtId="8" fontId="9" fillId="0" borderId="48" xfId="0" applyNumberFormat="1" applyFont="1" applyBorder="1" applyAlignment="1">
      <alignment horizontal="right"/>
    </xf>
    <xf numFmtId="0" fontId="26" fillId="0" borderId="17" xfId="0" applyFont="1" applyFill="1" applyBorder="1" applyAlignment="1">
      <alignment horizontal="center"/>
    </xf>
    <xf numFmtId="0" fontId="10" fillId="0" borderId="57" xfId="0" applyFont="1" applyBorder="1" applyAlignment="1">
      <alignment horizontal="center"/>
    </xf>
    <xf numFmtId="2" fontId="2" fillId="0" borderId="1" xfId="0" applyNumberFormat="1" applyFont="1" applyBorder="1" applyAlignment="1">
      <alignment horizontal="center"/>
    </xf>
    <xf numFmtId="0" fontId="130" fillId="18" borderId="17" xfId="0" applyFont="1" applyFill="1" applyBorder="1" applyAlignment="1">
      <alignment horizontal="center"/>
    </xf>
    <xf numFmtId="0" fontId="194" fillId="6" borderId="1" xfId="1" applyFont="1" applyFill="1" applyBorder="1" applyAlignment="1" applyProtection="1">
      <alignment horizontal="center"/>
    </xf>
    <xf numFmtId="0" fontId="0" fillId="2" borderId="0" xfId="0" applyFill="1"/>
    <xf numFmtId="0" fontId="75" fillId="10" borderId="0" xfId="0" applyFont="1" applyFill="1" applyBorder="1" applyAlignment="1">
      <alignment horizontal="center"/>
    </xf>
    <xf numFmtId="174" fontId="19" fillId="10" borderId="0" xfId="0" applyNumberFormat="1" applyFont="1" applyFill="1" applyBorder="1" applyProtection="1">
      <protection locked="0"/>
    </xf>
    <xf numFmtId="0" fontId="37" fillId="10" borderId="0" xfId="0" applyFont="1" applyFill="1" applyBorder="1"/>
    <xf numFmtId="2" fontId="10" fillId="10" borderId="0" xfId="0" applyNumberFormat="1" applyFont="1" applyFill="1" applyBorder="1"/>
    <xf numFmtId="2" fontId="62" fillId="0" borderId="0" xfId="0" applyNumberFormat="1" applyFont="1" applyBorder="1" applyAlignment="1">
      <alignment horizontal="left"/>
    </xf>
    <xf numFmtId="0" fontId="0" fillId="0" borderId="0" xfId="0" applyBorder="1" applyAlignment="1">
      <alignment horizontal="left"/>
    </xf>
    <xf numFmtId="0" fontId="4" fillId="2" borderId="1" xfId="0" applyFont="1" applyFill="1" applyBorder="1" applyAlignment="1">
      <alignment horizontal="center"/>
    </xf>
    <xf numFmtId="0" fontId="198" fillId="0" borderId="13" xfId="1" applyFont="1" applyBorder="1" applyAlignment="1" applyProtection="1"/>
    <xf numFmtId="0" fontId="99" fillId="0" borderId="13" xfId="1" applyFont="1" applyBorder="1" applyAlignment="1" applyProtection="1"/>
    <xf numFmtId="0" fontId="0" fillId="4" borderId="4" xfId="0" applyFill="1" applyBorder="1" applyAlignment="1" applyProtection="1">
      <alignment horizontal="center"/>
      <protection locked="0"/>
    </xf>
    <xf numFmtId="0" fontId="0" fillId="4" borderId="6"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4" borderId="51" xfId="0" applyFill="1" applyBorder="1" applyAlignment="1" applyProtection="1">
      <alignment horizontal="center"/>
      <protection locked="0"/>
    </xf>
    <xf numFmtId="0" fontId="0" fillId="0" borderId="0" xfId="0" applyProtection="1">
      <protection locked="0"/>
    </xf>
    <xf numFmtId="0" fontId="10" fillId="2" borderId="4" xfId="0" applyFont="1" applyFill="1" applyBorder="1" applyAlignment="1" applyProtection="1">
      <alignment horizontal="center"/>
      <protection locked="0"/>
    </xf>
    <xf numFmtId="0" fontId="10" fillId="2" borderId="6" xfId="0" applyFont="1" applyFill="1" applyBorder="1" applyAlignment="1" applyProtection="1">
      <alignment horizontal="center"/>
      <protection locked="0"/>
    </xf>
    <xf numFmtId="0" fontId="63" fillId="2" borderId="28" xfId="0" applyFont="1" applyFill="1" applyBorder="1" applyAlignment="1" applyProtection="1">
      <alignment horizontal="center"/>
      <protection locked="0"/>
    </xf>
    <xf numFmtId="0" fontId="63" fillId="2" borderId="4" xfId="0" applyFont="1" applyFill="1" applyBorder="1" applyAlignment="1" applyProtection="1">
      <alignment horizontal="center"/>
      <protection locked="0"/>
    </xf>
    <xf numFmtId="0" fontId="19" fillId="8" borderId="44" xfId="0" applyFont="1" applyFill="1" applyBorder="1" applyAlignment="1" applyProtection="1">
      <alignment horizontal="center"/>
      <protection locked="0"/>
    </xf>
    <xf numFmtId="0" fontId="19" fillId="8" borderId="45" xfId="0" applyFont="1" applyFill="1" applyBorder="1" applyAlignment="1" applyProtection="1">
      <alignment horizontal="center"/>
      <protection locked="0"/>
    </xf>
    <xf numFmtId="2" fontId="19" fillId="8" borderId="46" xfId="0" applyNumberFormat="1" applyFont="1" applyFill="1" applyBorder="1" applyAlignment="1" applyProtection="1">
      <alignment horizontal="center"/>
      <protection locked="0"/>
    </xf>
    <xf numFmtId="0" fontId="23" fillId="2" borderId="33" xfId="0" applyFont="1" applyFill="1" applyBorder="1" applyAlignment="1">
      <alignment horizontal="center"/>
    </xf>
    <xf numFmtId="0" fontId="9" fillId="2" borderId="35" xfId="0" applyFont="1" applyFill="1" applyBorder="1" applyAlignment="1">
      <alignment horizontal="center"/>
    </xf>
    <xf numFmtId="0" fontId="36" fillId="0" borderId="0" xfId="0" quotePrefix="1" applyFont="1" applyBorder="1" applyAlignment="1">
      <alignment horizontal="right"/>
    </xf>
    <xf numFmtId="0" fontId="23" fillId="0" borderId="0" xfId="0" applyFont="1" applyAlignment="1">
      <alignment horizontal="left"/>
    </xf>
    <xf numFmtId="1" fontId="87" fillId="0" borderId="74" xfId="0" applyNumberFormat="1" applyFont="1" applyBorder="1"/>
    <xf numFmtId="1" fontId="87" fillId="0" borderId="66" xfId="0" applyNumberFormat="1" applyFont="1" applyBorder="1"/>
    <xf numFmtId="1" fontId="19" fillId="2" borderId="11" xfId="0" applyNumberFormat="1" applyFont="1" applyFill="1" applyBorder="1" applyAlignment="1" applyProtection="1">
      <alignment horizontal="center"/>
      <protection locked="0"/>
    </xf>
    <xf numFmtId="0" fontId="0" fillId="2" borderId="1" xfId="0" applyFill="1" applyBorder="1" applyProtection="1">
      <protection locked="0"/>
    </xf>
    <xf numFmtId="1" fontId="190" fillId="4" borderId="1" xfId="0" applyNumberFormat="1" applyFont="1" applyFill="1" applyBorder="1" applyAlignment="1" applyProtection="1">
      <alignment horizontal="center"/>
      <protection locked="0"/>
    </xf>
    <xf numFmtId="0" fontId="10" fillId="8" borderId="25" xfId="0" applyFont="1" applyFill="1" applyBorder="1" applyAlignment="1" applyProtection="1">
      <alignment horizontal="center"/>
      <protection locked="0"/>
    </xf>
    <xf numFmtId="0" fontId="10" fillId="8" borderId="1" xfId="0" applyFont="1" applyFill="1" applyBorder="1" applyAlignment="1" applyProtection="1">
      <alignment horizontal="center"/>
      <protection locked="0"/>
    </xf>
    <xf numFmtId="0" fontId="9" fillId="8" borderId="28" xfId="0" applyFont="1" applyFill="1" applyBorder="1" applyAlignment="1" applyProtection="1">
      <alignment horizontal="center"/>
      <protection locked="0"/>
    </xf>
    <xf numFmtId="164" fontId="19" fillId="2" borderId="1" xfId="0" applyNumberFormat="1" applyFont="1" applyFill="1" applyBorder="1" applyAlignment="1" applyProtection="1">
      <alignment horizontal="right"/>
      <protection locked="0"/>
    </xf>
    <xf numFmtId="0" fontId="74" fillId="0" borderId="1" xfId="0" applyFont="1" applyBorder="1" applyAlignment="1">
      <alignment horizontal="center"/>
    </xf>
    <xf numFmtId="0" fontId="100" fillId="12" borderId="7" xfId="0" applyFont="1" applyFill="1" applyBorder="1" applyAlignment="1">
      <alignment horizontal="left"/>
    </xf>
    <xf numFmtId="0" fontId="94" fillId="0" borderId="13" xfId="1" applyFont="1" applyFill="1" applyBorder="1" applyAlignment="1" applyProtection="1">
      <alignment horizontal="left"/>
    </xf>
    <xf numFmtId="0" fontId="66" fillId="20" borderId="8" xfId="1" applyFont="1" applyFill="1" applyBorder="1" applyAlignment="1" applyProtection="1">
      <alignment horizontal="center"/>
    </xf>
    <xf numFmtId="0" fontId="141" fillId="0" borderId="13" xfId="1" applyFont="1" applyBorder="1" applyAlignment="1" applyProtection="1"/>
    <xf numFmtId="0" fontId="203" fillId="0" borderId="13" xfId="1" applyFont="1" applyBorder="1" applyAlignment="1" applyProtection="1">
      <alignment horizontal="left"/>
    </xf>
    <xf numFmtId="0" fontId="68" fillId="0" borderId="0" xfId="0" applyFont="1" applyBorder="1"/>
    <xf numFmtId="0" fontId="98" fillId="0" borderId="1" xfId="0" applyFont="1" applyBorder="1"/>
    <xf numFmtId="164" fontId="15" fillId="0" borderId="4" xfId="0" applyNumberFormat="1" applyFont="1" applyBorder="1" applyAlignment="1">
      <alignment horizontal="center"/>
    </xf>
    <xf numFmtId="164" fontId="15" fillId="0" borderId="0" xfId="0" applyNumberFormat="1" applyFont="1" applyFill="1" applyBorder="1" applyAlignment="1">
      <alignment horizontal="center"/>
    </xf>
    <xf numFmtId="0" fontId="0" fillId="0" borderId="0" xfId="0" applyBorder="1" applyAlignment="1"/>
    <xf numFmtId="2" fontId="10" fillId="0" borderId="1" xfId="0" applyNumberFormat="1" applyFont="1" applyBorder="1" applyAlignment="1" applyProtection="1">
      <alignment horizontal="center" vertical="center"/>
      <protection locked="0"/>
    </xf>
    <xf numFmtId="0" fontId="67" fillId="0" borderId="0" xfId="0" applyFont="1" applyBorder="1" applyAlignment="1">
      <alignment vertical="center"/>
    </xf>
    <xf numFmtId="0" fontId="98" fillId="0" borderId="8" xfId="0" applyFont="1" applyBorder="1"/>
    <xf numFmtId="0" fontId="15" fillId="0" borderId="8" xfId="0" applyFont="1" applyFill="1" applyBorder="1" applyAlignment="1">
      <alignment horizontal="left"/>
    </xf>
    <xf numFmtId="0" fontId="0" fillId="0" borderId="2" xfId="0" applyBorder="1" applyAlignment="1">
      <alignment horizontal="left"/>
    </xf>
    <xf numFmtId="0" fontId="9" fillId="0" borderId="0" xfId="0" applyFont="1" applyBorder="1" applyAlignment="1">
      <alignment horizontal="left"/>
    </xf>
    <xf numFmtId="2" fontId="10" fillId="0" borderId="0" xfId="0" applyNumberFormat="1" applyFont="1" applyBorder="1" applyAlignment="1" applyProtection="1">
      <alignment horizontal="center" vertical="center"/>
      <protection locked="0"/>
    </xf>
    <xf numFmtId="0" fontId="205" fillId="0" borderId="8" xfId="0" applyFont="1" applyBorder="1"/>
    <xf numFmtId="0" fontId="208" fillId="0" borderId="1" xfId="0" applyFont="1" applyFill="1" applyBorder="1" applyAlignment="1">
      <alignment horizontal="center" vertical="center"/>
    </xf>
    <xf numFmtId="0" fontId="24" fillId="0" borderId="8" xfId="0" applyFont="1" applyBorder="1" applyAlignment="1">
      <alignment vertical="center"/>
    </xf>
    <xf numFmtId="0" fontId="24" fillId="0" borderId="18" xfId="0" applyFont="1" applyBorder="1" applyAlignment="1">
      <alignment vertical="center"/>
    </xf>
    <xf numFmtId="0" fontId="24" fillId="0" borderId="13" xfId="0" applyFont="1" applyBorder="1" applyAlignment="1">
      <alignment vertical="center"/>
    </xf>
    <xf numFmtId="0" fontId="209" fillId="0" borderId="0" xfId="0" applyFont="1" applyBorder="1" applyAlignment="1">
      <alignment horizontal="center"/>
    </xf>
    <xf numFmtId="164" fontId="15" fillId="0" borderId="6" xfId="0" applyNumberFormat="1" applyFont="1" applyBorder="1" applyAlignment="1">
      <alignment horizontal="center"/>
    </xf>
    <xf numFmtId="0" fontId="210" fillId="0" borderId="65" xfId="0" applyFont="1" applyBorder="1" applyAlignment="1">
      <alignment horizontal="center"/>
    </xf>
    <xf numFmtId="0" fontId="210" fillId="0" borderId="65" xfId="0" applyFont="1" applyFill="1" applyBorder="1" applyAlignment="1">
      <alignment horizontal="center"/>
    </xf>
    <xf numFmtId="0" fontId="211" fillId="0" borderId="65" xfId="0" applyFont="1" applyBorder="1" applyAlignment="1">
      <alignment horizontal="center"/>
    </xf>
    <xf numFmtId="0" fontId="46" fillId="0" borderId="65" xfId="0" applyFont="1" applyBorder="1" applyAlignment="1">
      <alignment horizontal="center"/>
    </xf>
    <xf numFmtId="0" fontId="76" fillId="0" borderId="65" xfId="0" applyFont="1" applyBorder="1" applyAlignment="1">
      <alignment horizontal="center"/>
    </xf>
    <xf numFmtId="0" fontId="46" fillId="0" borderId="75" xfId="0" applyFont="1" applyBorder="1" applyAlignment="1">
      <alignment horizontal="center"/>
    </xf>
    <xf numFmtId="0" fontId="2" fillId="0" borderId="0" xfId="0" applyFont="1" applyBorder="1" applyAlignment="1">
      <alignment horizontal="center"/>
    </xf>
    <xf numFmtId="0" fontId="210" fillId="0" borderId="25" xfId="0" applyFont="1" applyBorder="1" applyAlignment="1">
      <alignment horizontal="center"/>
    </xf>
    <xf numFmtId="0" fontId="210" fillId="0" borderId="25" xfId="0" applyFont="1" applyFill="1" applyBorder="1" applyAlignment="1">
      <alignment horizontal="center"/>
    </xf>
    <xf numFmtId="0" fontId="211" fillId="0" borderId="25" xfId="0" applyFont="1" applyBorder="1" applyAlignment="1">
      <alignment horizontal="center"/>
    </xf>
    <xf numFmtId="0" fontId="46" fillId="0" borderId="25" xfId="0" applyFont="1" applyBorder="1" applyAlignment="1">
      <alignment horizontal="center"/>
    </xf>
    <xf numFmtId="0" fontId="76" fillId="0" borderId="25" xfId="0" applyFont="1" applyBorder="1" applyAlignment="1">
      <alignment horizontal="center"/>
    </xf>
    <xf numFmtId="0" fontId="213" fillId="0" borderId="28" xfId="0" applyFont="1" applyBorder="1" applyAlignment="1">
      <alignment horizontal="center"/>
    </xf>
    <xf numFmtId="0" fontId="67" fillId="0" borderId="0" xfId="0" applyFont="1" applyBorder="1" applyAlignment="1">
      <alignment horizontal="left"/>
    </xf>
    <xf numFmtId="0" fontId="210" fillId="0" borderId="1" xfId="0" applyFont="1" applyBorder="1" applyAlignment="1">
      <alignment horizontal="center"/>
    </xf>
    <xf numFmtId="0" fontId="210" fillId="0" borderId="1" xfId="0" applyFont="1" applyFill="1" applyBorder="1" applyAlignment="1">
      <alignment horizontal="center"/>
    </xf>
    <xf numFmtId="0" fontId="211" fillId="0" borderId="1" xfId="0" applyFont="1" applyBorder="1" applyAlignment="1">
      <alignment horizontal="center"/>
    </xf>
    <xf numFmtId="0" fontId="46" fillId="0" borderId="1" xfId="0" applyFont="1" applyBorder="1" applyAlignment="1">
      <alignment horizontal="center"/>
    </xf>
    <xf numFmtId="0" fontId="76" fillId="0" borderId="1" xfId="0" applyFont="1" applyBorder="1" applyAlignment="1">
      <alignment horizontal="center"/>
    </xf>
    <xf numFmtId="0" fontId="213" fillId="0" borderId="4" xfId="0" applyFont="1" applyBorder="1" applyAlignment="1">
      <alignment horizontal="center"/>
    </xf>
    <xf numFmtId="0" fontId="9" fillId="0" borderId="0" xfId="0" applyFont="1" applyBorder="1" applyAlignment="1">
      <alignment horizontal="center"/>
    </xf>
    <xf numFmtId="0" fontId="210" fillId="0" borderId="5" xfId="0" applyFont="1" applyFill="1" applyBorder="1" applyAlignment="1">
      <alignment horizontal="center"/>
    </xf>
    <xf numFmtId="0" fontId="9" fillId="0" borderId="5" xfId="0" applyFont="1" applyBorder="1" applyAlignment="1">
      <alignment horizontal="center"/>
    </xf>
    <xf numFmtId="0" fontId="10" fillId="0" borderId="5" xfId="0" applyFont="1" applyBorder="1" applyAlignment="1">
      <alignment horizontal="center"/>
    </xf>
    <xf numFmtId="0" fontId="76" fillId="0" borderId="5" xfId="0" applyFont="1" applyBorder="1" applyAlignment="1">
      <alignment horizontal="center"/>
    </xf>
    <xf numFmtId="0" fontId="23" fillId="0" borderId="6" xfId="0" applyFont="1" applyBorder="1" applyAlignment="1">
      <alignment horizontal="center"/>
    </xf>
    <xf numFmtId="0" fontId="15" fillId="0" borderId="0" xfId="0" applyFont="1" applyBorder="1" applyAlignment="1">
      <alignment horizontal="center"/>
    </xf>
    <xf numFmtId="0" fontId="15" fillId="0" borderId="0" xfId="0" applyFont="1" applyBorder="1"/>
    <xf numFmtId="0" fontId="15" fillId="0" borderId="0" xfId="0" applyFont="1" applyFill="1" applyBorder="1"/>
    <xf numFmtId="0" fontId="67" fillId="0" borderId="0" xfId="0" applyFont="1" applyBorder="1" applyAlignment="1">
      <alignment horizontal="center"/>
    </xf>
    <xf numFmtId="164" fontId="15" fillId="0" borderId="0" xfId="0" applyNumberFormat="1" applyFont="1" applyBorder="1" applyAlignment="1">
      <alignment horizontal="center"/>
    </xf>
    <xf numFmtId="0" fontId="10" fillId="0" borderId="0" xfId="0" applyFont="1" applyAlignment="1">
      <alignment horizontal="center"/>
    </xf>
    <xf numFmtId="0" fontId="214" fillId="0" borderId="0" xfId="0" applyFont="1"/>
    <xf numFmtId="0" fontId="46" fillId="0" borderId="28" xfId="0" applyFont="1" applyBorder="1" applyAlignment="1">
      <alignment horizontal="center"/>
    </xf>
    <xf numFmtId="0" fontId="210" fillId="0" borderId="2" xfId="0" applyFont="1" applyFill="1" applyBorder="1" applyAlignment="1">
      <alignment horizontal="center"/>
    </xf>
    <xf numFmtId="0" fontId="211" fillId="0" borderId="2" xfId="0" applyFont="1" applyBorder="1" applyAlignment="1">
      <alignment horizontal="center"/>
    </xf>
    <xf numFmtId="0" fontId="46" fillId="0" borderId="2" xfId="0" applyFont="1" applyBorder="1" applyAlignment="1">
      <alignment horizontal="center"/>
    </xf>
    <xf numFmtId="0" fontId="76" fillId="0" borderId="2" xfId="0" applyFont="1" applyBorder="1" applyAlignment="1">
      <alignment horizontal="center"/>
    </xf>
    <xf numFmtId="0" fontId="213" fillId="0" borderId="50" xfId="0" applyFont="1" applyBorder="1" applyAlignment="1">
      <alignment horizontal="center"/>
    </xf>
    <xf numFmtId="0" fontId="210" fillId="0" borderId="36" xfId="0" applyFont="1" applyFill="1" applyBorder="1" applyAlignment="1">
      <alignment horizontal="center"/>
    </xf>
    <xf numFmtId="0" fontId="211" fillId="0" borderId="36" xfId="0" applyFont="1" applyBorder="1" applyAlignment="1">
      <alignment horizontal="center"/>
    </xf>
    <xf numFmtId="0" fontId="46" fillId="0" borderId="36" xfId="0" applyFont="1" applyBorder="1" applyAlignment="1">
      <alignment horizontal="center"/>
    </xf>
    <xf numFmtId="0" fontId="76" fillId="0" borderId="36" xfId="0" applyFont="1" applyBorder="1" applyAlignment="1">
      <alignment horizontal="center"/>
    </xf>
    <xf numFmtId="0" fontId="39" fillId="0" borderId="16" xfId="0" applyFont="1" applyBorder="1" applyAlignment="1">
      <alignment horizontal="center"/>
    </xf>
    <xf numFmtId="0" fontId="213" fillId="0" borderId="76" xfId="0" applyFont="1" applyBorder="1" applyAlignment="1">
      <alignment horizontal="center"/>
    </xf>
    <xf numFmtId="0" fontId="215" fillId="0" borderId="0" xfId="0" applyFont="1" applyBorder="1" applyAlignment="1">
      <alignment horizontal="center"/>
    </xf>
    <xf numFmtId="0" fontId="9" fillId="0" borderId="0" xfId="0" applyFont="1" applyBorder="1" applyAlignment="1">
      <alignment horizontal="left" vertical="center"/>
    </xf>
    <xf numFmtId="0" fontId="9" fillId="0" borderId="0" xfId="0" applyFont="1" applyAlignment="1">
      <alignment horizontal="centerContinuous"/>
    </xf>
    <xf numFmtId="0" fontId="210" fillId="0" borderId="0" xfId="0" applyFont="1" applyBorder="1" applyAlignment="1">
      <alignment horizontal="centerContinuous"/>
    </xf>
    <xf numFmtId="0" fontId="9" fillId="0" borderId="0" xfId="0" applyFont="1" applyBorder="1" applyAlignment="1">
      <alignment horizontal="centerContinuous"/>
    </xf>
    <xf numFmtId="0" fontId="210" fillId="0" borderId="16" xfId="0" applyFont="1" applyFill="1" applyBorder="1" applyAlignment="1">
      <alignment horizontal="center"/>
    </xf>
    <xf numFmtId="0" fontId="46" fillId="0" borderId="4" xfId="0" applyFont="1" applyBorder="1" applyAlignment="1">
      <alignment horizontal="center"/>
    </xf>
    <xf numFmtId="0" fontId="210" fillId="0" borderId="0" xfId="0" applyFont="1" applyBorder="1" applyAlignment="1">
      <alignment horizontal="left"/>
    </xf>
    <xf numFmtId="0" fontId="211" fillId="0" borderId="16" xfId="0" applyFont="1" applyBorder="1" applyAlignment="1">
      <alignment horizontal="center"/>
    </xf>
    <xf numFmtId="0" fontId="46" fillId="0" borderId="16" xfId="0" applyFont="1" applyBorder="1" applyAlignment="1">
      <alignment horizontal="center"/>
    </xf>
    <xf numFmtId="0" fontId="76" fillId="0" borderId="16" xfId="0" applyFont="1" applyBorder="1" applyAlignment="1">
      <alignment horizontal="center"/>
    </xf>
    <xf numFmtId="0" fontId="46" fillId="0" borderId="27" xfId="0" applyFont="1" applyBorder="1" applyAlignment="1">
      <alignment horizontal="center"/>
    </xf>
    <xf numFmtId="0" fontId="210" fillId="0" borderId="25" xfId="0" applyFont="1" applyBorder="1" applyAlignment="1">
      <alignment horizontal="center" vertical="center"/>
    </xf>
    <xf numFmtId="0" fontId="210" fillId="0" borderId="1" xfId="0" applyFont="1" applyBorder="1" applyAlignment="1">
      <alignment horizontal="center" vertical="center"/>
    </xf>
    <xf numFmtId="0" fontId="210" fillId="0" borderId="0" xfId="0" applyFont="1" applyBorder="1" applyAlignment="1">
      <alignment horizontal="left" vertical="center"/>
    </xf>
    <xf numFmtId="0" fontId="210" fillId="0" borderId="0" xfId="0" applyFont="1" applyFill="1" applyBorder="1" applyAlignment="1">
      <alignment horizontal="center"/>
    </xf>
    <xf numFmtId="0" fontId="211" fillId="0" borderId="0" xfId="0" applyFont="1" applyBorder="1" applyAlignment="1">
      <alignment horizontal="center"/>
    </xf>
    <xf numFmtId="0" fontId="46" fillId="0" borderId="0" xfId="0" applyFont="1" applyBorder="1" applyAlignment="1">
      <alignment horizontal="center"/>
    </xf>
    <xf numFmtId="0" fontId="76" fillId="0" borderId="0" xfId="0" applyFont="1" applyBorder="1" applyAlignment="1">
      <alignment horizontal="center"/>
    </xf>
    <xf numFmtId="0" fontId="67" fillId="0" borderId="0" xfId="0" applyFont="1"/>
    <xf numFmtId="0" fontId="67" fillId="0" borderId="0" xfId="0" applyFont="1" applyBorder="1" applyAlignment="1">
      <alignment horizontal="left" vertical="center"/>
    </xf>
    <xf numFmtId="0" fontId="9" fillId="0" borderId="1" xfId="0" applyFont="1" applyBorder="1" applyAlignment="1">
      <alignment horizontal="center"/>
    </xf>
    <xf numFmtId="0" fontId="23" fillId="0" borderId="4" xfId="0" applyFont="1" applyBorder="1" applyAlignment="1">
      <alignment horizontal="center"/>
    </xf>
    <xf numFmtId="0" fontId="10" fillId="0" borderId="6" xfId="0" applyFont="1" applyBorder="1" applyAlignment="1">
      <alignment horizontal="center"/>
    </xf>
    <xf numFmtId="0" fontId="46" fillId="0" borderId="0" xfId="0" applyFont="1" applyBorder="1" applyAlignment="1">
      <alignment horizontal="center" vertical="center"/>
    </xf>
    <xf numFmtId="0" fontId="210" fillId="0" borderId="0" xfId="0" applyFont="1" applyBorder="1" applyAlignment="1">
      <alignment horizontal="center" vertical="center"/>
    </xf>
    <xf numFmtId="0" fontId="210" fillId="0" borderId="40" xfId="0" applyFont="1" applyBorder="1" applyAlignment="1">
      <alignment horizontal="left" vertical="center"/>
    </xf>
    <xf numFmtId="0" fontId="67" fillId="0" borderId="42" xfId="0" applyFont="1" applyBorder="1" applyAlignment="1">
      <alignment horizontal="left" vertical="center"/>
    </xf>
    <xf numFmtId="0" fontId="0" fillId="0" borderId="42" xfId="0" applyFill="1" applyBorder="1"/>
    <xf numFmtId="0" fontId="9" fillId="0" borderId="42" xfId="0" applyFont="1" applyBorder="1" applyAlignment="1">
      <alignment horizontal="center"/>
    </xf>
    <xf numFmtId="0" fontId="10" fillId="0" borderId="42" xfId="0" applyFont="1" applyBorder="1" applyAlignment="1">
      <alignment horizontal="center"/>
    </xf>
    <xf numFmtId="0" fontId="0" fillId="0" borderId="42" xfId="0" applyBorder="1"/>
    <xf numFmtId="0" fontId="214" fillId="0" borderId="42" xfId="0" applyFont="1" applyBorder="1"/>
    <xf numFmtId="0" fontId="0" fillId="0" borderId="42" xfId="0" applyBorder="1" applyAlignment="1">
      <alignment horizontal="centerContinuous"/>
    </xf>
    <xf numFmtId="0" fontId="9" fillId="0" borderId="42" xfId="0" applyFont="1" applyBorder="1" applyAlignment="1">
      <alignment horizontal="centerContinuous"/>
    </xf>
    <xf numFmtId="0" fontId="0" fillId="0" borderId="19" xfId="0" applyBorder="1"/>
    <xf numFmtId="0" fontId="210" fillId="0" borderId="20" xfId="0" applyFont="1" applyBorder="1" applyAlignment="1">
      <alignment horizontal="left" vertical="center"/>
    </xf>
    <xf numFmtId="0" fontId="214" fillId="0" borderId="0" xfId="0" applyFont="1" applyBorder="1"/>
    <xf numFmtId="0" fontId="0" fillId="0" borderId="37" xfId="0" applyBorder="1"/>
    <xf numFmtId="0" fontId="210" fillId="0" borderId="7" xfId="0" applyFont="1" applyBorder="1" applyAlignment="1">
      <alignment horizontal="left" vertical="center"/>
    </xf>
    <xf numFmtId="0" fontId="67" fillId="0" borderId="55" xfId="0" applyFont="1" applyBorder="1" applyAlignment="1">
      <alignment horizontal="left" vertical="center"/>
    </xf>
    <xf numFmtId="0" fontId="0" fillId="0" borderId="55" xfId="0" applyFill="1" applyBorder="1"/>
    <xf numFmtId="0" fontId="9" fillId="0" borderId="55" xfId="0" applyFont="1" applyBorder="1" applyAlignment="1">
      <alignment horizontal="center"/>
    </xf>
    <xf numFmtId="0" fontId="10" fillId="0" borderId="55" xfId="0" applyFont="1" applyBorder="1" applyAlignment="1">
      <alignment horizontal="center"/>
    </xf>
    <xf numFmtId="0" fontId="0" fillId="0" borderId="55" xfId="0" applyBorder="1"/>
    <xf numFmtId="0" fontId="214" fillId="0" borderId="55" xfId="0" applyFont="1" applyBorder="1"/>
    <xf numFmtId="0" fontId="0" fillId="0" borderId="55" xfId="0" applyBorder="1" applyAlignment="1">
      <alignment horizontal="centerContinuous"/>
    </xf>
    <xf numFmtId="0" fontId="9" fillId="0" borderId="55" xfId="0" applyFont="1" applyBorder="1" applyAlignment="1">
      <alignment horizontal="centerContinuous"/>
    </xf>
    <xf numFmtId="0" fontId="0" fillId="0" borderId="43" xfId="0" applyBorder="1"/>
    <xf numFmtId="0" fontId="0" fillId="0" borderId="18" xfId="0" applyFill="1" applyBorder="1"/>
    <xf numFmtId="0" fontId="9" fillId="0" borderId="18" xfId="0" applyFont="1" applyBorder="1" applyAlignment="1">
      <alignment horizontal="center"/>
    </xf>
    <xf numFmtId="0" fontId="10" fillId="0" borderId="18" xfId="0" applyFont="1" applyBorder="1" applyAlignment="1">
      <alignment horizontal="center"/>
    </xf>
    <xf numFmtId="0" fontId="9" fillId="0" borderId="18" xfId="0" applyFont="1" applyBorder="1"/>
    <xf numFmtId="0" fontId="0" fillId="0" borderId="13" xfId="0" applyBorder="1"/>
    <xf numFmtId="0" fontId="214" fillId="0" borderId="18" xfId="0" applyFont="1" applyBorder="1"/>
    <xf numFmtId="0" fontId="0" fillId="0" borderId="8" xfId="0" applyBorder="1" applyAlignment="1"/>
    <xf numFmtId="0" fontId="9" fillId="0" borderId="0" xfId="0" applyFont="1" applyBorder="1"/>
    <xf numFmtId="164" fontId="15" fillId="0" borderId="1" xfId="0" applyNumberFormat="1" applyFont="1" applyBorder="1" applyAlignment="1">
      <alignment horizontal="center"/>
    </xf>
    <xf numFmtId="164" fontId="218" fillId="0" borderId="1" xfId="0" applyNumberFormat="1" applyFont="1" applyBorder="1" applyAlignment="1">
      <alignment horizontal="center"/>
    </xf>
    <xf numFmtId="0" fontId="15" fillId="0" borderId="1" xfId="0" applyFont="1" applyBorder="1" applyAlignment="1">
      <alignment horizontal="center"/>
    </xf>
    <xf numFmtId="0" fontId="10" fillId="0" borderId="1" xfId="0" applyFont="1" applyBorder="1" applyAlignment="1" applyProtection="1">
      <alignment horizontal="center"/>
      <protection locked="0"/>
    </xf>
    <xf numFmtId="0" fontId="209" fillId="0" borderId="0" xfId="0" applyFont="1" applyBorder="1" applyAlignment="1"/>
    <xf numFmtId="0" fontId="220" fillId="0" borderId="1" xfId="0" applyFont="1" applyBorder="1" applyAlignment="1">
      <alignment horizontal="center"/>
    </xf>
    <xf numFmtId="0" fontId="220" fillId="0" borderId="0" xfId="0" applyFont="1" applyBorder="1" applyAlignment="1">
      <alignment horizontal="center"/>
    </xf>
    <xf numFmtId="0" fontId="206" fillId="0" borderId="0" xfId="0" applyFont="1" applyAlignment="1"/>
    <xf numFmtId="0" fontId="2" fillId="0" borderId="0" xfId="0" applyFont="1" applyBorder="1" applyAlignment="1">
      <alignment horizontal="left" vertical="center"/>
    </xf>
    <xf numFmtId="0" fontId="206" fillId="0" borderId="0" xfId="0" applyFont="1" applyFill="1" applyBorder="1" applyAlignment="1">
      <alignment horizontal="left"/>
    </xf>
    <xf numFmtId="0" fontId="206" fillId="0" borderId="0" xfId="0" applyFont="1" applyBorder="1" applyAlignment="1">
      <alignment horizontal="left"/>
    </xf>
    <xf numFmtId="0" fontId="98" fillId="0" borderId="0" xfId="0" applyFont="1" applyBorder="1" applyAlignment="1">
      <alignment horizontal="left"/>
    </xf>
    <xf numFmtId="0" fontId="46" fillId="0" borderId="36" xfId="0" applyFont="1" applyBorder="1" applyAlignment="1">
      <alignment horizontal="center" vertical="center"/>
    </xf>
    <xf numFmtId="0" fontId="98" fillId="0" borderId="1" xfId="0" applyFont="1" applyBorder="1" applyAlignment="1">
      <alignment horizontal="center"/>
    </xf>
    <xf numFmtId="0" fontId="210" fillId="0" borderId="0" xfId="0" applyFont="1" applyBorder="1" applyAlignment="1"/>
    <xf numFmtId="0" fontId="98" fillId="0" borderId="8" xfId="0" applyFont="1" applyBorder="1" applyAlignment="1">
      <alignment horizontal="center"/>
    </xf>
    <xf numFmtId="0" fontId="100" fillId="0" borderId="1" xfId="0" applyFont="1" applyBorder="1" applyAlignment="1">
      <alignment horizontal="center"/>
    </xf>
    <xf numFmtId="0" fontId="67" fillId="0" borderId="20" xfId="0" applyFont="1" applyBorder="1" applyAlignment="1">
      <alignment horizontal="left" vertical="center"/>
    </xf>
    <xf numFmtId="0" fontId="4" fillId="0" borderId="0" xfId="0" applyFont="1" applyBorder="1" applyAlignment="1">
      <alignment horizontal="left" vertical="center"/>
    </xf>
    <xf numFmtId="0" fontId="98" fillId="0" borderId="0" xfId="0" applyFont="1" applyBorder="1" applyAlignment="1">
      <alignment horizontal="center"/>
    </xf>
    <xf numFmtId="0" fontId="76" fillId="0" borderId="13" xfId="0" applyFont="1" applyBorder="1" applyAlignment="1">
      <alignment horizontal="center"/>
    </xf>
    <xf numFmtId="0" fontId="76" fillId="0" borderId="8" xfId="0" applyFont="1" applyBorder="1" applyAlignment="1">
      <alignment horizontal="center"/>
    </xf>
    <xf numFmtId="2" fontId="211" fillId="0" borderId="1" xfId="0" applyNumberFormat="1" applyFont="1" applyBorder="1" applyAlignment="1">
      <alignment horizontal="center"/>
    </xf>
    <xf numFmtId="0" fontId="46" fillId="0" borderId="13" xfId="0" applyFont="1" applyBorder="1" applyAlignment="1">
      <alignment horizontal="center"/>
    </xf>
    <xf numFmtId="0" fontId="67" fillId="0" borderId="0" xfId="0" applyFont="1" applyBorder="1" applyAlignment="1">
      <alignment horizontal="center" vertical="center"/>
    </xf>
    <xf numFmtId="0" fontId="67" fillId="0" borderId="0" xfId="0" applyFont="1" applyBorder="1"/>
    <xf numFmtId="164" fontId="216" fillId="0" borderId="0" xfId="0" applyNumberFormat="1" applyFont="1" applyBorder="1" applyAlignment="1">
      <alignment horizontal="center"/>
    </xf>
    <xf numFmtId="0" fontId="222" fillId="0" borderId="0" xfId="0" applyFont="1" applyFill="1" applyBorder="1" applyAlignment="1">
      <alignment horizontal="center"/>
    </xf>
    <xf numFmtId="0" fontId="205" fillId="0" borderId="0" xfId="0" applyFont="1" applyFill="1" applyBorder="1" applyAlignment="1">
      <alignment horizontal="center" vertical="center"/>
    </xf>
    <xf numFmtId="0" fontId="205" fillId="0" borderId="0" xfId="0" applyFont="1" applyBorder="1" applyAlignment="1">
      <alignment horizontal="center"/>
    </xf>
    <xf numFmtId="0" fontId="20" fillId="0" borderId="0" xfId="0" applyFont="1" applyBorder="1" applyAlignment="1">
      <alignment horizontal="left" vertical="center"/>
    </xf>
    <xf numFmtId="0" fontId="210" fillId="0" borderId="2" xfId="0" applyFont="1" applyFill="1" applyBorder="1" applyAlignment="1" applyProtection="1">
      <alignment horizontal="center"/>
      <protection locked="0"/>
    </xf>
    <xf numFmtId="0" fontId="210" fillId="0" borderId="1" xfId="0" applyFont="1" applyFill="1" applyBorder="1" applyAlignment="1" applyProtection="1">
      <alignment horizontal="center"/>
      <protection locked="0"/>
    </xf>
    <xf numFmtId="0" fontId="0" fillId="0" borderId="0" xfId="0" applyFill="1" applyBorder="1" applyProtection="1">
      <protection locked="0"/>
    </xf>
    <xf numFmtId="0" fontId="61" fillId="0" borderId="0" xfId="0" applyFont="1"/>
    <xf numFmtId="0" fontId="0" fillId="0" borderId="40" xfId="0" applyBorder="1"/>
    <xf numFmtId="0" fontId="46" fillId="0" borderId="42" xfId="0" applyFont="1" applyFill="1" applyBorder="1" applyAlignment="1">
      <alignment horizontal="center"/>
    </xf>
    <xf numFmtId="0" fontId="76" fillId="0" borderId="42" xfId="0" applyFont="1" applyBorder="1"/>
    <xf numFmtId="0" fontId="68" fillId="0" borderId="19" xfId="0" applyFont="1" applyBorder="1" applyAlignment="1">
      <alignment horizontal="center"/>
    </xf>
    <xf numFmtId="0" fontId="0" fillId="0" borderId="20" xfId="0" applyBorder="1"/>
    <xf numFmtId="0" fontId="224" fillId="0" borderId="8" xfId="0" applyFont="1" applyBorder="1" applyAlignment="1">
      <alignment horizontal="centerContinuous"/>
    </xf>
    <xf numFmtId="0" fontId="0" fillId="0" borderId="18" xfId="0" applyFill="1" applyBorder="1" applyAlignment="1">
      <alignment horizontal="centerContinuous"/>
    </xf>
    <xf numFmtId="0" fontId="37" fillId="0" borderId="1" xfId="0" applyFont="1" applyBorder="1" applyAlignment="1">
      <alignment horizontal="center"/>
    </xf>
    <xf numFmtId="0" fontId="76" fillId="0" borderId="55" xfId="0" applyFont="1" applyBorder="1"/>
    <xf numFmtId="0" fontId="68" fillId="0" borderId="43" xfId="0" applyFont="1" applyBorder="1" applyAlignment="1">
      <alignment horizontal="center"/>
    </xf>
    <xf numFmtId="17" fontId="0" fillId="0" borderId="7" xfId="0" applyNumberFormat="1" applyBorder="1"/>
    <xf numFmtId="164" fontId="76" fillId="0" borderId="1" xfId="0" applyNumberFormat="1" applyFont="1" applyBorder="1" applyAlignment="1">
      <alignment horizontal="center"/>
    </xf>
    <xf numFmtId="0" fontId="216" fillId="0" borderId="1" xfId="0" applyFont="1" applyBorder="1" applyAlignment="1">
      <alignment horizontal="center"/>
    </xf>
    <xf numFmtId="0" fontId="76" fillId="0" borderId="0" xfId="0" applyFont="1"/>
    <xf numFmtId="0" fontId="68" fillId="0" borderId="0" xfId="0" applyFont="1" applyBorder="1" applyAlignment="1">
      <alignment horizontal="center"/>
    </xf>
    <xf numFmtId="0" fontId="76" fillId="0" borderId="20" xfId="0" applyFont="1" applyBorder="1"/>
    <xf numFmtId="0" fontId="76" fillId="0" borderId="0" xfId="0" applyFont="1" applyBorder="1"/>
    <xf numFmtId="0" fontId="68" fillId="0" borderId="37" xfId="0" applyFont="1" applyBorder="1" applyAlignment="1">
      <alignment horizontal="center"/>
    </xf>
    <xf numFmtId="0" fontId="76" fillId="0" borderId="7" xfId="0" applyFont="1" applyBorder="1"/>
    <xf numFmtId="0" fontId="46" fillId="0" borderId="2" xfId="0" applyFont="1" applyBorder="1" applyAlignment="1">
      <alignment horizontal="center" vertical="center"/>
    </xf>
    <xf numFmtId="0" fontId="76" fillId="0" borderId="8" xfId="0" applyFont="1" applyBorder="1"/>
    <xf numFmtId="0" fontId="76" fillId="0" borderId="18" xfId="0" applyFont="1" applyFill="1" applyBorder="1"/>
    <xf numFmtId="0" fontId="211" fillId="0" borderId="18" xfId="0" applyFont="1" applyBorder="1" applyAlignment="1">
      <alignment horizontal="center"/>
    </xf>
    <xf numFmtId="0" fontId="76" fillId="0" borderId="18" xfId="0" applyFont="1" applyBorder="1" applyAlignment="1">
      <alignment horizontal="center"/>
    </xf>
    <xf numFmtId="0" fontId="76" fillId="0" borderId="18" xfId="0" applyFont="1" applyBorder="1"/>
    <xf numFmtId="0" fontId="76" fillId="0" borderId="8" xfId="0" applyFont="1" applyFill="1" applyBorder="1"/>
    <xf numFmtId="0" fontId="46" fillId="0" borderId="8" xfId="0" applyFont="1" applyBorder="1" applyAlignment="1">
      <alignment horizontal="left"/>
    </xf>
    <xf numFmtId="0" fontId="46" fillId="0" borderId="18" xfId="0" applyFont="1" applyBorder="1" applyAlignment="1">
      <alignment horizontal="left"/>
    </xf>
    <xf numFmtId="0" fontId="210" fillId="0" borderId="2" xfId="0" applyFont="1" applyBorder="1" applyAlignment="1">
      <alignment horizontal="center"/>
    </xf>
    <xf numFmtId="0" fontId="213" fillId="0" borderId="1" xfId="0" applyFont="1" applyBorder="1" applyAlignment="1">
      <alignment horizontal="center"/>
    </xf>
    <xf numFmtId="0" fontId="226" fillId="0" borderId="0" xfId="0" applyFont="1" applyBorder="1"/>
    <xf numFmtId="0" fontId="39" fillId="0" borderId="1" xfId="0" applyFont="1" applyBorder="1" applyAlignment="1">
      <alignment horizontal="center"/>
    </xf>
    <xf numFmtId="0" fontId="20" fillId="0" borderId="1" xfId="0" applyFont="1" applyBorder="1" applyAlignment="1">
      <alignment horizontal="center"/>
    </xf>
    <xf numFmtId="0" fontId="40" fillId="0" borderId="0" xfId="0" applyFont="1" applyBorder="1" applyAlignment="1">
      <alignment horizontal="center"/>
    </xf>
    <xf numFmtId="164" fontId="67" fillId="0" borderId="0" xfId="0" applyNumberFormat="1" applyFont="1" applyBorder="1" applyAlignment="1">
      <alignment horizontal="center"/>
    </xf>
    <xf numFmtId="0" fontId="9" fillId="0" borderId="0" xfId="0" applyFont="1" applyFill="1" applyBorder="1" applyAlignment="1">
      <alignment horizontal="left" vertical="center"/>
    </xf>
    <xf numFmtId="0" fontId="9" fillId="0" borderId="0" xfId="0" applyFont="1" applyAlignment="1">
      <alignment horizontal="left"/>
    </xf>
    <xf numFmtId="0" fontId="4" fillId="0" borderId="0" xfId="0" applyFont="1" applyProtection="1"/>
    <xf numFmtId="0" fontId="53" fillId="0" borderId="0" xfId="0" applyFont="1" applyProtection="1"/>
    <xf numFmtId="0" fontId="53" fillId="0" borderId="0" xfId="0" applyFont="1" applyFill="1" applyBorder="1" applyProtection="1"/>
    <xf numFmtId="0" fontId="4" fillId="0" borderId="0" xfId="0" applyFont="1" applyBorder="1" applyProtection="1"/>
    <xf numFmtId="0" fontId="53" fillId="0" borderId="0" xfId="0" applyFont="1" applyBorder="1" applyProtection="1"/>
    <xf numFmtId="0" fontId="7" fillId="0" borderId="1" xfId="0" applyFont="1" applyBorder="1" applyAlignment="1">
      <alignment horizontal="center" vertical="center"/>
    </xf>
    <xf numFmtId="14" fontId="55" fillId="0" borderId="1" xfId="0" applyNumberFormat="1" applyFont="1" applyBorder="1" applyAlignment="1" applyProtection="1">
      <alignment horizontal="center"/>
      <protection locked="0"/>
    </xf>
    <xf numFmtId="0" fontId="6" fillId="0" borderId="1" xfId="0" applyFont="1" applyBorder="1" applyAlignment="1">
      <alignment horizontal="center"/>
    </xf>
    <xf numFmtId="0" fontId="102" fillId="0" borderId="1" xfId="0" applyFont="1" applyBorder="1" applyAlignment="1">
      <alignment horizontal="center"/>
    </xf>
    <xf numFmtId="0" fontId="0" fillId="7" borderId="1" xfId="0" applyFill="1" applyBorder="1"/>
    <xf numFmtId="0" fontId="7" fillId="0" borderId="0" xfId="0" applyFont="1" applyAlignment="1">
      <alignment horizontal="center"/>
    </xf>
    <xf numFmtId="0" fontId="102" fillId="0" borderId="1" xfId="0" applyFont="1" applyFill="1" applyBorder="1" applyAlignment="1">
      <alignment horizontal="center"/>
    </xf>
    <xf numFmtId="2" fontId="19" fillId="2" borderId="1" xfId="0" applyNumberFormat="1" applyFont="1" applyFill="1" applyBorder="1" applyAlignment="1" applyProtection="1">
      <alignment horizontal="center"/>
      <protection locked="0"/>
    </xf>
    <xf numFmtId="0" fontId="229" fillId="0" borderId="1" xfId="0" applyFont="1" applyBorder="1" applyAlignment="1">
      <alignment horizontal="center"/>
    </xf>
    <xf numFmtId="2" fontId="7" fillId="7" borderId="1" xfId="0" applyNumberFormat="1" applyFont="1" applyFill="1" applyBorder="1" applyAlignment="1">
      <alignment horizontal="center"/>
    </xf>
    <xf numFmtId="0" fontId="7" fillId="0" borderId="15" xfId="0" applyFont="1" applyBorder="1" applyAlignment="1">
      <alignment horizontal="center"/>
    </xf>
    <xf numFmtId="2" fontId="63" fillId="7" borderId="4" xfId="0" applyNumberFormat="1" applyFont="1" applyFill="1" applyBorder="1" applyAlignment="1">
      <alignment horizontal="center"/>
    </xf>
    <xf numFmtId="2" fontId="63" fillId="0" borderId="0" xfId="0" applyNumberFormat="1" applyFont="1" applyFill="1" applyBorder="1" applyAlignment="1">
      <alignment horizontal="center"/>
    </xf>
    <xf numFmtId="0" fontId="233" fillId="0" borderId="1" xfId="0" applyFont="1" applyBorder="1" applyAlignment="1">
      <alignment horizontal="center"/>
    </xf>
    <xf numFmtId="0" fontId="7" fillId="0" borderId="21" xfId="0" applyFont="1" applyBorder="1" applyAlignment="1">
      <alignment horizontal="center"/>
    </xf>
    <xf numFmtId="2" fontId="63" fillId="7" borderId="6" xfId="0" applyNumberFormat="1" applyFont="1" applyFill="1" applyBorder="1" applyAlignment="1">
      <alignment horizontal="center"/>
    </xf>
    <xf numFmtId="0" fontId="7" fillId="0" borderId="1" xfId="0" applyFont="1" applyBorder="1" applyAlignment="1">
      <alignment horizontal="center"/>
    </xf>
    <xf numFmtId="0" fontId="10" fillId="2" borderId="13" xfId="0" applyFont="1" applyFill="1" applyBorder="1" applyAlignment="1" applyProtection="1">
      <alignment horizontal="center"/>
      <protection locked="0"/>
    </xf>
    <xf numFmtId="0" fontId="10" fillId="0" borderId="18" xfId="0" applyFont="1" applyBorder="1" applyAlignment="1">
      <alignment horizontal="centerContinuous"/>
    </xf>
    <xf numFmtId="0" fontId="7" fillId="0" borderId="2" xfId="0" applyFont="1" applyBorder="1" applyAlignment="1">
      <alignment horizontal="center"/>
    </xf>
    <xf numFmtId="0" fontId="19" fillId="0" borderId="1" xfId="0" applyFont="1" applyBorder="1" applyAlignment="1">
      <alignment horizontal="center"/>
    </xf>
    <xf numFmtId="2" fontId="0" fillId="2" borderId="1" xfId="0" applyNumberFormat="1" applyFill="1" applyBorder="1" applyAlignment="1" applyProtection="1">
      <alignment horizontal="center"/>
      <protection locked="0"/>
    </xf>
    <xf numFmtId="2" fontId="0" fillId="7" borderId="1" xfId="0" applyNumberFormat="1" applyFill="1" applyBorder="1" applyAlignment="1">
      <alignment horizontal="center"/>
    </xf>
    <xf numFmtId="1" fontId="0" fillId="7" borderId="1" xfId="0" applyNumberFormat="1" applyFill="1" applyBorder="1" applyAlignment="1">
      <alignment horizontal="center"/>
    </xf>
    <xf numFmtId="0" fontId="36" fillId="0" borderId="1" xfId="0" applyFont="1" applyBorder="1" applyAlignment="1">
      <alignment horizontal="center"/>
    </xf>
    <xf numFmtId="0" fontId="235" fillId="0" borderId="1" xfId="0" applyFont="1" applyBorder="1" applyAlignment="1">
      <alignment horizontal="center"/>
    </xf>
    <xf numFmtId="0" fontId="75" fillId="0" borderId="1" xfId="0" applyFont="1" applyBorder="1" applyAlignment="1">
      <alignment horizontal="center"/>
    </xf>
    <xf numFmtId="0" fontId="236" fillId="0" borderId="0" xfId="0" applyFont="1" applyBorder="1" applyAlignment="1">
      <alignment horizontal="center"/>
    </xf>
    <xf numFmtId="0" fontId="7" fillId="0" borderId="0" xfId="0" applyFont="1" applyBorder="1" applyAlignment="1">
      <alignment horizontal="center"/>
    </xf>
    <xf numFmtId="2" fontId="74" fillId="0" borderId="1" xfId="0" applyNumberFormat="1" applyFont="1" applyBorder="1"/>
    <xf numFmtId="0" fontId="236" fillId="0" borderId="1" xfId="0" applyFont="1" applyBorder="1" applyAlignment="1">
      <alignment horizontal="center"/>
    </xf>
    <xf numFmtId="0" fontId="98" fillId="0" borderId="40" xfId="0" applyFont="1" applyBorder="1"/>
    <xf numFmtId="164" fontId="15" fillId="0" borderId="16" xfId="0" applyNumberFormat="1" applyFont="1" applyBorder="1" applyAlignment="1">
      <alignment horizontal="center"/>
    </xf>
    <xf numFmtId="164" fontId="218" fillId="0" borderId="16" xfId="0" applyNumberFormat="1" applyFont="1" applyBorder="1" applyAlignment="1">
      <alignment horizontal="center"/>
    </xf>
    <xf numFmtId="0" fontId="0" fillId="0" borderId="1" xfId="0" applyBorder="1" applyAlignment="1" applyProtection="1">
      <alignment horizontal="center"/>
      <protection locked="0"/>
    </xf>
    <xf numFmtId="0" fontId="98" fillId="0" borderId="0" xfId="0" applyFont="1" applyBorder="1"/>
    <xf numFmtId="164" fontId="218" fillId="0" borderId="0" xfId="0" applyNumberFormat="1" applyFont="1" applyBorder="1" applyAlignment="1">
      <alignment horizontal="center"/>
    </xf>
    <xf numFmtId="0" fontId="205" fillId="0" borderId="0" xfId="0" applyFont="1" applyBorder="1"/>
    <xf numFmtId="0" fontId="220" fillId="0" borderId="1" xfId="0" applyFont="1" applyBorder="1" applyAlignment="1">
      <alignment horizontal="center" vertical="center"/>
    </xf>
    <xf numFmtId="0" fontId="205" fillId="0" borderId="0" xfId="0" applyFont="1" applyBorder="1" applyAlignment="1">
      <alignment vertical="center"/>
    </xf>
    <xf numFmtId="164" fontId="15" fillId="0" borderId="0" xfId="0" applyNumberFormat="1" applyFont="1" applyBorder="1" applyAlignment="1">
      <alignment horizontal="center" vertical="center"/>
    </xf>
    <xf numFmtId="164" fontId="218" fillId="0" borderId="0" xfId="0" applyNumberFormat="1" applyFont="1" applyBorder="1" applyAlignment="1">
      <alignment horizontal="center" vertical="center"/>
    </xf>
    <xf numFmtId="0" fontId="9" fillId="0" borderId="0" xfId="0" applyFont="1" applyBorder="1" applyAlignment="1"/>
    <xf numFmtId="0" fontId="206" fillId="0" borderId="0" xfId="0" applyFont="1" applyAlignment="1">
      <alignment horizontal="center"/>
    </xf>
    <xf numFmtId="0" fontId="2" fillId="0" borderId="0" xfId="0" applyFont="1" applyBorder="1" applyAlignment="1">
      <alignment horizontal="centerContinuous"/>
    </xf>
    <xf numFmtId="0" fontId="61" fillId="0" borderId="0" xfId="0" applyFont="1" applyBorder="1" applyAlignment="1">
      <alignment horizontal="centerContinuous"/>
    </xf>
    <xf numFmtId="0" fontId="2" fillId="0" borderId="0" xfId="0" applyFont="1" applyAlignment="1">
      <alignment horizontal="centerContinuous"/>
    </xf>
    <xf numFmtId="0" fontId="61" fillId="0" borderId="20" xfId="0" applyFont="1" applyBorder="1" applyAlignment="1">
      <alignment horizontal="left" vertical="center"/>
    </xf>
    <xf numFmtId="0" fontId="4" fillId="0" borderId="0" xfId="0" applyFont="1" applyAlignment="1">
      <alignment horizontal="left"/>
    </xf>
    <xf numFmtId="2" fontId="9" fillId="0" borderId="1" xfId="0" applyNumberFormat="1" applyFont="1" applyBorder="1" applyAlignment="1">
      <alignment horizontal="center" vertical="center"/>
    </xf>
    <xf numFmtId="0" fontId="115" fillId="0" borderId="0" xfId="0" applyFont="1" applyAlignment="1">
      <alignment horizontal="center"/>
    </xf>
    <xf numFmtId="0" fontId="239" fillId="0" borderId="0" xfId="0" applyFont="1" applyAlignment="1">
      <alignment horizontal="center"/>
    </xf>
    <xf numFmtId="0" fontId="98" fillId="0" borderId="0" xfId="0" applyNumberFormat="1" applyFont="1"/>
    <xf numFmtId="0" fontId="48" fillId="0" borderId="0" xfId="0" applyNumberFormat="1" applyFont="1"/>
    <xf numFmtId="0" fontId="0" fillId="0" borderId="0" xfId="0" applyNumberFormat="1"/>
    <xf numFmtId="0" fontId="2" fillId="0" borderId="0" xfId="0" applyNumberFormat="1" applyFont="1"/>
    <xf numFmtId="0" fontId="98" fillId="0" borderId="0" xfId="0" quotePrefix="1" applyNumberFormat="1" applyFont="1"/>
    <xf numFmtId="0" fontId="244" fillId="5" borderId="1" xfId="0" applyFont="1" applyFill="1" applyBorder="1" applyAlignment="1">
      <alignment horizontal="center" vertical="center"/>
    </xf>
    <xf numFmtId="0" fontId="94" fillId="0" borderId="43" xfId="1" applyFont="1" applyBorder="1" applyAlignment="1" applyProtection="1">
      <alignment horizontal="left"/>
    </xf>
    <xf numFmtId="0" fontId="202" fillId="0" borderId="0" xfId="0" applyNumberFormat="1" applyFont="1"/>
    <xf numFmtId="0" fontId="245" fillId="0" borderId="0" xfId="1" applyFont="1" applyAlignment="1" applyProtection="1"/>
    <xf numFmtId="0" fontId="246" fillId="0" borderId="13" xfId="1" applyFont="1" applyBorder="1" applyAlignment="1" applyProtection="1">
      <alignment horizontal="left"/>
    </xf>
    <xf numFmtId="0" fontId="247" fillId="10" borderId="13" xfId="1" applyFont="1" applyFill="1" applyBorder="1" applyAlignment="1" applyProtection="1">
      <alignment horizontal="left"/>
    </xf>
    <xf numFmtId="0" fontId="250" fillId="0" borderId="0" xfId="0" applyFont="1" applyAlignment="1">
      <alignment horizontal="center"/>
    </xf>
    <xf numFmtId="0" fontId="249" fillId="21" borderId="0" xfId="1" applyFont="1" applyFill="1" applyAlignment="1" applyProtection="1">
      <alignment horizontal="center"/>
    </xf>
    <xf numFmtId="0" fontId="249" fillId="2" borderId="0" xfId="1" applyFont="1" applyFill="1" applyAlignment="1" applyProtection="1">
      <alignment horizontal="center"/>
    </xf>
    <xf numFmtId="0" fontId="249" fillId="18" borderId="0" xfId="1" applyFont="1" applyFill="1" applyAlignment="1" applyProtection="1">
      <alignment horizontal="center"/>
    </xf>
    <xf numFmtId="0" fontId="249" fillId="22" borderId="0" xfId="1" applyFont="1" applyFill="1" applyAlignment="1" applyProtection="1">
      <alignment horizontal="center"/>
    </xf>
    <xf numFmtId="0" fontId="2" fillId="0" borderId="0" xfId="0" applyFont="1" applyAlignment="1">
      <alignment horizontal="center"/>
    </xf>
    <xf numFmtId="0" fontId="0" fillId="0" borderId="0" xfId="0" applyFill="1" applyBorder="1" applyAlignment="1"/>
    <xf numFmtId="0" fontId="2" fillId="0" borderId="1" xfId="0" applyFont="1" applyBorder="1" applyAlignment="1">
      <alignment horizontal="center"/>
    </xf>
    <xf numFmtId="0" fontId="15" fillId="0" borderId="1" xfId="0" applyFont="1" applyBorder="1" applyAlignment="1">
      <alignment horizontal="left"/>
    </xf>
    <xf numFmtId="0" fontId="26" fillId="0" borderId="2" xfId="0" applyFont="1" applyBorder="1" applyAlignment="1">
      <alignment horizontal="center"/>
    </xf>
    <xf numFmtId="0" fontId="26" fillId="0" borderId="1" xfId="0" applyFont="1" applyBorder="1" applyAlignment="1">
      <alignment horizontal="center"/>
    </xf>
    <xf numFmtId="0" fontId="26" fillId="0" borderId="0" xfId="0" applyFont="1" applyBorder="1" applyAlignment="1">
      <alignment horizontal="center"/>
    </xf>
    <xf numFmtId="0" fontId="26" fillId="0" borderId="16" xfId="0" applyFont="1" applyBorder="1" applyAlignment="1">
      <alignment horizontal="center"/>
    </xf>
    <xf numFmtId="0" fontId="75" fillId="0" borderId="0" xfId="0" applyFont="1" applyBorder="1" applyAlignment="1">
      <alignment horizontal="center"/>
    </xf>
    <xf numFmtId="0" fontId="249" fillId="11" borderId="0" xfId="1" applyFont="1" applyFill="1" applyAlignment="1" applyProtection="1">
      <alignment horizontal="center"/>
    </xf>
    <xf numFmtId="0" fontId="238" fillId="21" borderId="0" xfId="1" applyFont="1" applyFill="1" applyBorder="1" applyAlignment="1" applyProtection="1">
      <alignment vertical="center"/>
    </xf>
    <xf numFmtId="0" fontId="240" fillId="0" borderId="0" xfId="0" applyFont="1" applyAlignment="1">
      <alignment vertical="center"/>
    </xf>
    <xf numFmtId="0" fontId="238" fillId="2" borderId="0" xfId="1" applyFont="1" applyFill="1" applyBorder="1" applyAlignment="1" applyProtection="1">
      <alignment vertical="center"/>
    </xf>
    <xf numFmtId="0" fontId="238" fillId="18" borderId="0" xfId="1" applyFont="1" applyFill="1" applyBorder="1" applyAlignment="1" applyProtection="1">
      <alignment vertical="center"/>
    </xf>
    <xf numFmtId="0" fontId="238" fillId="22" borderId="0" xfId="1" applyFont="1" applyFill="1" applyBorder="1" applyAlignment="1" applyProtection="1">
      <alignment vertical="center"/>
    </xf>
    <xf numFmtId="0" fontId="238" fillId="11" borderId="0" xfId="0" applyFont="1" applyFill="1" applyBorder="1" applyAlignment="1">
      <alignment vertical="center"/>
    </xf>
    <xf numFmtId="0" fontId="238" fillId="4" borderId="0" xfId="0" applyFont="1" applyFill="1" applyBorder="1" applyAlignment="1">
      <alignment vertical="center"/>
    </xf>
    <xf numFmtId="0" fontId="249" fillId="4" borderId="0" xfId="1" applyFont="1" applyFill="1" applyAlignment="1" applyProtection="1">
      <alignment horizontal="center"/>
    </xf>
    <xf numFmtId="0" fontId="4" fillId="0" borderId="0" xfId="0" applyFont="1" applyAlignment="1">
      <alignment horizontal="right"/>
    </xf>
    <xf numFmtId="0" fontId="20" fillId="0" borderId="0" xfId="0" applyFont="1" applyAlignment="1">
      <alignment horizontal="center"/>
    </xf>
    <xf numFmtId="0" fontId="238" fillId="5" borderId="0" xfId="0" applyFont="1" applyFill="1" applyBorder="1" applyAlignment="1">
      <alignment vertical="center"/>
    </xf>
    <xf numFmtId="0" fontId="249" fillId="5" borderId="0" xfId="1" applyFont="1" applyFill="1" applyAlignment="1" applyProtection="1">
      <alignment horizontal="center"/>
    </xf>
    <xf numFmtId="0" fontId="46" fillId="0" borderId="14" xfId="0" applyFont="1" applyBorder="1" applyAlignment="1">
      <alignment horizontal="center" vertical="center"/>
    </xf>
    <xf numFmtId="0" fontId="210" fillId="0" borderId="16" xfId="0" applyFont="1" applyBorder="1" applyAlignment="1">
      <alignment horizontal="center" vertical="center"/>
    </xf>
    <xf numFmtId="0" fontId="46" fillId="0" borderId="1" xfId="0" applyFont="1" applyBorder="1" applyAlignment="1">
      <alignment horizontal="center" vertical="center"/>
    </xf>
    <xf numFmtId="0" fontId="100" fillId="23" borderId="8" xfId="0" applyFont="1" applyFill="1" applyBorder="1" applyAlignment="1">
      <alignment horizontal="left"/>
    </xf>
    <xf numFmtId="0" fontId="94" fillId="0" borderId="12" xfId="1" applyFont="1" applyBorder="1" applyAlignment="1" applyProtection="1"/>
    <xf numFmtId="0" fontId="26" fillId="0" borderId="0" xfId="0" applyFont="1" applyBorder="1" applyAlignment="1">
      <alignment horizontal="center" vertical="center"/>
    </xf>
    <xf numFmtId="0" fontId="20" fillId="0" borderId="1" xfId="0" applyFont="1" applyBorder="1" applyAlignment="1">
      <alignment horizontal="left"/>
    </xf>
    <xf numFmtId="0" fontId="20" fillId="0" borderId="0" xfId="0" applyFont="1" applyBorder="1" applyAlignment="1">
      <alignment horizontal="left"/>
    </xf>
    <xf numFmtId="0" fontId="252" fillId="0" borderId="0" xfId="0" applyFont="1" applyBorder="1" applyAlignment="1">
      <alignment horizontal="left"/>
    </xf>
    <xf numFmtId="0" fontId="20" fillId="0" borderId="0" xfId="0" applyFont="1" applyAlignment="1">
      <alignment horizontal="left"/>
    </xf>
    <xf numFmtId="0" fontId="20" fillId="0" borderId="0" xfId="0" applyFont="1"/>
    <xf numFmtId="0" fontId="20" fillId="0" borderId="14" xfId="0" applyFont="1" applyBorder="1" applyAlignment="1">
      <alignment horizontal="left"/>
    </xf>
    <xf numFmtId="0" fontId="15" fillId="0" borderId="28" xfId="0" applyFont="1" applyBorder="1" applyAlignment="1">
      <alignment horizontal="left"/>
    </xf>
    <xf numFmtId="0" fontId="20" fillId="0" borderId="21" xfId="0" applyFont="1" applyBorder="1" applyAlignment="1">
      <alignment horizontal="left"/>
    </xf>
    <xf numFmtId="0" fontId="182" fillId="0" borderId="6" xfId="0" applyFont="1" applyBorder="1" applyAlignment="1">
      <alignment horizontal="left"/>
    </xf>
    <xf numFmtId="0" fontId="20" fillId="0" borderId="2" xfId="0" applyFont="1" applyBorder="1" applyAlignment="1">
      <alignment horizontal="left"/>
    </xf>
    <xf numFmtId="0" fontId="15" fillId="0" borderId="2" xfId="0" applyFont="1" applyBorder="1" applyAlignment="1">
      <alignment horizontal="left"/>
    </xf>
    <xf numFmtId="0" fontId="18" fillId="13" borderId="56" xfId="0" applyFont="1" applyFill="1" applyBorder="1" applyAlignment="1">
      <alignment horizontal="center"/>
    </xf>
    <xf numFmtId="0" fontId="20" fillId="13" borderId="59" xfId="0" applyFont="1" applyFill="1" applyBorder="1" applyAlignment="1">
      <alignment horizontal="center"/>
    </xf>
    <xf numFmtId="0" fontId="20" fillId="13" borderId="0" xfId="0" applyFont="1" applyFill="1" applyBorder="1" applyAlignment="1">
      <alignment horizontal="center"/>
    </xf>
    <xf numFmtId="0" fontId="26" fillId="13" borderId="56" xfId="0" applyFont="1" applyFill="1" applyBorder="1" applyAlignment="1">
      <alignment horizontal="center" vertical="center"/>
    </xf>
    <xf numFmtId="0" fontId="26" fillId="13" borderId="58" xfId="0" applyFont="1" applyFill="1" applyBorder="1" applyAlignment="1">
      <alignment horizontal="center" vertical="center"/>
    </xf>
    <xf numFmtId="0" fontId="26" fillId="13" borderId="59" xfId="0" applyFont="1" applyFill="1" applyBorder="1" applyAlignment="1">
      <alignment horizontal="center" vertical="center"/>
    </xf>
    <xf numFmtId="0" fontId="18" fillId="7" borderId="56" xfId="0" applyFont="1" applyFill="1" applyBorder="1" applyAlignment="1">
      <alignment horizontal="center"/>
    </xf>
    <xf numFmtId="0" fontId="20" fillId="7" borderId="59" xfId="0" applyFont="1" applyFill="1" applyBorder="1" applyAlignment="1">
      <alignment horizontal="center"/>
    </xf>
    <xf numFmtId="0" fontId="20" fillId="7" borderId="0" xfId="0" applyFont="1" applyFill="1" applyBorder="1" applyAlignment="1">
      <alignment horizontal="center"/>
    </xf>
    <xf numFmtId="0" fontId="26" fillId="7" borderId="56" xfId="0" applyFont="1" applyFill="1" applyBorder="1" applyAlignment="1">
      <alignment horizontal="center" vertical="center"/>
    </xf>
    <xf numFmtId="0" fontId="26" fillId="7" borderId="58" xfId="0" applyFont="1" applyFill="1" applyBorder="1" applyAlignment="1">
      <alignment horizontal="center" vertical="center"/>
    </xf>
    <xf numFmtId="0" fontId="26" fillId="7" borderId="59" xfId="0" applyFont="1" applyFill="1" applyBorder="1" applyAlignment="1">
      <alignment horizontal="center" vertical="center"/>
    </xf>
    <xf numFmtId="0" fontId="18" fillId="4" borderId="56" xfId="0" applyFont="1" applyFill="1" applyBorder="1" applyAlignment="1">
      <alignment horizontal="center"/>
    </xf>
    <xf numFmtId="0" fontId="20" fillId="4" borderId="59" xfId="0" applyFont="1" applyFill="1" applyBorder="1" applyAlignment="1">
      <alignment horizontal="center"/>
    </xf>
    <xf numFmtId="0" fontId="20" fillId="4" borderId="0" xfId="0" applyFont="1" applyFill="1" applyBorder="1" applyAlignment="1">
      <alignment horizontal="center"/>
    </xf>
    <xf numFmtId="0" fontId="26" fillId="4" borderId="56" xfId="0" applyFont="1" applyFill="1" applyBorder="1" applyAlignment="1">
      <alignment horizontal="center" vertical="center"/>
    </xf>
    <xf numFmtId="0" fontId="26" fillId="4" borderId="58" xfId="0" applyFont="1" applyFill="1" applyBorder="1" applyAlignment="1">
      <alignment horizontal="center" vertical="center"/>
    </xf>
    <xf numFmtId="0" fontId="26" fillId="4" borderId="59" xfId="0" applyFont="1" applyFill="1" applyBorder="1" applyAlignment="1">
      <alignment horizontal="center" vertical="center"/>
    </xf>
    <xf numFmtId="0" fontId="26" fillId="0" borderId="0" xfId="0" applyFont="1" applyFill="1" applyBorder="1" applyAlignment="1">
      <alignment horizontal="center" vertical="center"/>
    </xf>
    <xf numFmtId="0" fontId="20" fillId="2" borderId="1" xfId="0" applyFont="1" applyFill="1" applyBorder="1" applyAlignment="1">
      <alignment horizontal="left"/>
    </xf>
    <xf numFmtId="0" fontId="15" fillId="2" borderId="1" xfId="0" applyFont="1" applyFill="1" applyBorder="1" applyAlignment="1">
      <alignment horizontal="left"/>
    </xf>
    <xf numFmtId="0" fontId="20" fillId="2" borderId="0" xfId="0" applyFont="1" applyFill="1" applyBorder="1" applyAlignment="1">
      <alignment horizontal="left"/>
    </xf>
    <xf numFmtId="0" fontId="20" fillId="2" borderId="16" xfId="0" applyFont="1" applyFill="1" applyBorder="1" applyAlignment="1">
      <alignment horizontal="left"/>
    </xf>
    <xf numFmtId="0" fontId="15" fillId="2" borderId="16" xfId="0" applyFont="1" applyFill="1" applyBorder="1" applyAlignment="1">
      <alignment horizontal="left"/>
    </xf>
    <xf numFmtId="0" fontId="20" fillId="2" borderId="15" xfId="0" applyFont="1" applyFill="1" applyBorder="1" applyAlignment="1">
      <alignment horizontal="left"/>
    </xf>
    <xf numFmtId="0" fontId="15" fillId="2" borderId="4" xfId="0" applyFont="1" applyFill="1" applyBorder="1" applyAlignment="1">
      <alignment horizontal="left"/>
    </xf>
    <xf numFmtId="0" fontId="2" fillId="2" borderId="0" xfId="0" applyFont="1" applyFill="1" applyBorder="1" applyAlignment="1">
      <alignment horizontal="center"/>
    </xf>
    <xf numFmtId="0" fontId="74" fillId="0" borderId="14" xfId="0" applyFont="1" applyBorder="1" applyAlignment="1">
      <alignment horizontal="center"/>
    </xf>
    <xf numFmtId="0" fontId="74" fillId="0" borderId="25" xfId="0" applyFont="1" applyBorder="1" applyAlignment="1">
      <alignment horizontal="center"/>
    </xf>
    <xf numFmtId="0" fontId="74" fillId="0" borderId="28" xfId="0" applyFont="1" applyBorder="1" applyAlignment="1">
      <alignment horizontal="center"/>
    </xf>
    <xf numFmtId="0" fontId="74" fillId="2" borderId="15" xfId="0" applyFont="1" applyFill="1" applyBorder="1" applyAlignment="1">
      <alignment horizontal="center"/>
    </xf>
    <xf numFmtId="0" fontId="74" fillId="2" borderId="1" xfId="0" applyFont="1" applyFill="1" applyBorder="1" applyAlignment="1">
      <alignment horizontal="center"/>
    </xf>
    <xf numFmtId="0" fontId="74" fillId="2" borderId="4" xfId="0" applyFont="1" applyFill="1" applyBorder="1" applyAlignment="1">
      <alignment horizontal="center"/>
    </xf>
    <xf numFmtId="0" fontId="74" fillId="0" borderId="15" xfId="0" applyFont="1" applyBorder="1" applyAlignment="1">
      <alignment horizontal="center"/>
    </xf>
    <xf numFmtId="0" fontId="74" fillId="0" borderId="4" xfId="0" applyFont="1" applyBorder="1" applyAlignment="1">
      <alignment horizontal="center"/>
    </xf>
    <xf numFmtId="0" fontId="74" fillId="2" borderId="21" xfId="0" applyFont="1" applyFill="1" applyBorder="1" applyAlignment="1">
      <alignment horizontal="center"/>
    </xf>
    <xf numFmtId="0" fontId="74" fillId="2" borderId="5" xfId="0" applyFont="1" applyFill="1" applyBorder="1" applyAlignment="1">
      <alignment horizontal="center"/>
    </xf>
    <xf numFmtId="0" fontId="74" fillId="2" borderId="6" xfId="0" applyFont="1" applyFill="1" applyBorder="1" applyAlignment="1">
      <alignment horizontal="center"/>
    </xf>
    <xf numFmtId="0" fontId="74" fillId="0" borderId="21" xfId="0" applyFont="1" applyBorder="1" applyAlignment="1">
      <alignment horizontal="center" vertical="top" wrapText="1"/>
    </xf>
    <xf numFmtId="0" fontId="74" fillId="0" borderId="5" xfId="0" applyFont="1" applyBorder="1" applyAlignment="1">
      <alignment horizontal="center" vertical="top" wrapText="1"/>
    </xf>
    <xf numFmtId="0" fontId="74" fillId="0" borderId="6" xfId="0" applyFont="1" applyBorder="1" applyAlignment="1">
      <alignment horizontal="center" vertical="top" wrapText="1"/>
    </xf>
    <xf numFmtId="0" fontId="15" fillId="0" borderId="14" xfId="0" applyFont="1" applyBorder="1" applyAlignment="1">
      <alignment horizontal="center" vertical="top" wrapText="1"/>
    </xf>
    <xf numFmtId="0" fontId="15" fillId="0" borderId="25" xfId="0" applyFont="1" applyBorder="1" applyAlignment="1">
      <alignment horizontal="center" vertical="top" wrapText="1"/>
    </xf>
    <xf numFmtId="0" fontId="15" fillId="0" borderId="28" xfId="0" applyFont="1" applyBorder="1" applyAlignment="1">
      <alignment horizontal="center" vertical="top" wrapText="1"/>
    </xf>
    <xf numFmtId="0" fontId="15" fillId="2" borderId="15" xfId="0" applyFont="1" applyFill="1" applyBorder="1" applyAlignment="1">
      <alignment horizontal="center" vertical="top" wrapText="1"/>
    </xf>
    <xf numFmtId="0" fontId="15" fillId="2" borderId="1" xfId="0" applyFont="1" applyFill="1" applyBorder="1" applyAlignment="1">
      <alignment horizontal="center" vertical="top" wrapText="1"/>
    </xf>
    <xf numFmtId="0" fontId="15" fillId="2" borderId="4" xfId="0" applyFont="1" applyFill="1" applyBorder="1" applyAlignment="1">
      <alignment horizontal="center" vertical="top" wrapText="1"/>
    </xf>
    <xf numFmtId="0" fontId="15" fillId="0" borderId="15" xfId="0" applyFont="1" applyBorder="1" applyAlignment="1">
      <alignment horizontal="center" vertical="top" wrapText="1"/>
    </xf>
    <xf numFmtId="0" fontId="15" fillId="0" borderId="1" xfId="0" applyFont="1" applyBorder="1" applyAlignment="1">
      <alignment horizontal="center" vertical="top" wrapText="1"/>
    </xf>
    <xf numFmtId="0" fontId="15" fillId="0" borderId="4" xfId="0" applyFont="1" applyBorder="1" applyAlignment="1">
      <alignment horizontal="center" vertical="top" wrapText="1"/>
    </xf>
    <xf numFmtId="0" fontId="15" fillId="2" borderId="21" xfId="0" applyFont="1" applyFill="1" applyBorder="1" applyAlignment="1">
      <alignment horizontal="center" vertical="top" wrapText="1"/>
    </xf>
    <xf numFmtId="0" fontId="15" fillId="2" borderId="5" xfId="0" applyFont="1" applyFill="1" applyBorder="1" applyAlignment="1">
      <alignment horizontal="center" vertical="top" wrapText="1"/>
    </xf>
    <xf numFmtId="0" fontId="15" fillId="2" borderId="6" xfId="0" applyFont="1" applyFill="1" applyBorder="1" applyAlignment="1">
      <alignment horizontal="center" vertical="top" wrapText="1"/>
    </xf>
    <xf numFmtId="0" fontId="15" fillId="0" borderId="14" xfId="0" applyFont="1" applyBorder="1" applyAlignment="1">
      <alignment horizontal="center"/>
    </xf>
    <xf numFmtId="0" fontId="15" fillId="0" borderId="25" xfId="0" applyFont="1" applyBorder="1" applyAlignment="1">
      <alignment horizontal="center"/>
    </xf>
    <xf numFmtId="0" fontId="15" fillId="0" borderId="28" xfId="0" applyFont="1" applyBorder="1" applyAlignment="1">
      <alignment horizontal="center"/>
    </xf>
    <xf numFmtId="0" fontId="15" fillId="2" borderId="15" xfId="0" applyFont="1" applyFill="1" applyBorder="1" applyAlignment="1">
      <alignment horizontal="center"/>
    </xf>
    <xf numFmtId="0" fontId="15" fillId="2" borderId="1" xfId="0" applyFont="1" applyFill="1" applyBorder="1" applyAlignment="1">
      <alignment horizontal="center"/>
    </xf>
    <xf numFmtId="0" fontId="15" fillId="2" borderId="4" xfId="0" applyFont="1" applyFill="1" applyBorder="1" applyAlignment="1">
      <alignment horizontal="center"/>
    </xf>
    <xf numFmtId="0" fontId="15" fillId="0" borderId="21" xfId="0" applyFont="1" applyBorder="1" applyAlignment="1">
      <alignment horizontal="center" vertical="top" wrapText="1"/>
    </xf>
    <xf numFmtId="0" fontId="15" fillId="0" borderId="5" xfId="0" applyFont="1" applyBorder="1" applyAlignment="1">
      <alignment horizontal="center" vertical="top" wrapText="1"/>
    </xf>
    <xf numFmtId="0" fontId="15" fillId="0" borderId="6" xfId="0" applyFont="1" applyBorder="1" applyAlignment="1">
      <alignment horizontal="center" vertical="top" wrapText="1"/>
    </xf>
    <xf numFmtId="0" fontId="15" fillId="0" borderId="21" xfId="0" applyFont="1" applyFill="1" applyBorder="1" applyAlignment="1">
      <alignment horizontal="center"/>
    </xf>
    <xf numFmtId="0" fontId="15" fillId="0" borderId="5" xfId="0" applyFont="1" applyFill="1" applyBorder="1" applyAlignment="1">
      <alignment horizontal="center"/>
    </xf>
    <xf numFmtId="0" fontId="15" fillId="0" borderId="6" xfId="0" applyFont="1" applyFill="1" applyBorder="1" applyAlignment="1">
      <alignment horizontal="center"/>
    </xf>
    <xf numFmtId="0" fontId="74" fillId="0" borderId="44" xfId="0" applyFont="1" applyBorder="1" applyAlignment="1">
      <alignment horizontal="center"/>
    </xf>
    <xf numFmtId="0" fontId="74" fillId="2" borderId="45" xfId="0" applyFont="1" applyFill="1" applyBorder="1" applyAlignment="1">
      <alignment horizontal="center"/>
    </xf>
    <xf numFmtId="0" fontId="74" fillId="0" borderId="45" xfId="0" applyFont="1" applyBorder="1" applyAlignment="1">
      <alignment horizontal="center"/>
    </xf>
    <xf numFmtId="0" fontId="74" fillId="2" borderId="46" xfId="0" applyFont="1" applyFill="1" applyBorder="1" applyAlignment="1">
      <alignment horizontal="center"/>
    </xf>
    <xf numFmtId="0" fontId="74" fillId="0" borderId="21" xfId="0" applyFont="1" applyBorder="1" applyAlignment="1">
      <alignment horizontal="center"/>
    </xf>
    <xf numFmtId="0" fontId="74" fillId="0" borderId="5" xfId="0" applyFont="1" applyBorder="1" applyAlignment="1">
      <alignment horizontal="center"/>
    </xf>
    <xf numFmtId="0" fontId="74" fillId="0" borderId="6" xfId="0" applyFont="1" applyBorder="1" applyAlignment="1">
      <alignment horizontal="center"/>
    </xf>
    <xf numFmtId="0" fontId="75" fillId="2" borderId="0" xfId="0" applyFont="1" applyFill="1" applyBorder="1" applyAlignment="1">
      <alignment horizontal="center"/>
    </xf>
    <xf numFmtId="0" fontId="26" fillId="2" borderId="0" xfId="0" applyFont="1" applyFill="1" applyBorder="1" applyAlignment="1">
      <alignment horizontal="center"/>
    </xf>
    <xf numFmtId="0" fontId="95" fillId="0" borderId="13" xfId="1" applyFont="1" applyBorder="1" applyAlignment="1" applyProtection="1">
      <alignment horizontal="left"/>
    </xf>
    <xf numFmtId="0" fontId="0" fillId="2" borderId="1" xfId="0" applyFill="1" applyBorder="1" applyAlignment="1">
      <alignment horizontal="center" vertical="center"/>
    </xf>
    <xf numFmtId="0" fontId="11" fillId="4" borderId="5" xfId="0" applyFont="1" applyFill="1" applyBorder="1" applyAlignment="1">
      <alignment horizontal="center" vertical="center"/>
    </xf>
    <xf numFmtId="0" fontId="6" fillId="4" borderId="69" xfId="0" applyFont="1" applyFill="1" applyBorder="1" applyAlignment="1">
      <alignment horizontal="center" vertical="center"/>
    </xf>
    <xf numFmtId="0" fontId="23" fillId="4" borderId="48" xfId="0" applyFont="1" applyFill="1" applyBorder="1" applyAlignment="1">
      <alignment horizontal="center"/>
    </xf>
    <xf numFmtId="0" fontId="4" fillId="5" borderId="1" xfId="0" applyFont="1" applyFill="1" applyBorder="1" applyAlignment="1">
      <alignment horizontal="center"/>
    </xf>
    <xf numFmtId="0" fontId="10" fillId="2" borderId="1" xfId="0" applyFont="1" applyFill="1" applyBorder="1"/>
    <xf numFmtId="0" fontId="10" fillId="2" borderId="1" xfId="0" applyFont="1" applyFill="1" applyBorder="1" applyAlignment="1">
      <alignment horizontal="left"/>
    </xf>
    <xf numFmtId="0" fontId="10" fillId="2" borderId="1" xfId="0" applyFont="1" applyFill="1" applyBorder="1" applyAlignment="1">
      <alignment horizontal="left" vertical="center"/>
    </xf>
    <xf numFmtId="0" fontId="121" fillId="2" borderId="1" xfId="0" applyFont="1" applyFill="1" applyBorder="1" applyAlignment="1">
      <alignment vertical="center"/>
    </xf>
    <xf numFmtId="0" fontId="0" fillId="2" borderId="1" xfId="0" applyFill="1" applyBorder="1" applyAlignment="1">
      <alignment vertical="center"/>
    </xf>
    <xf numFmtId="0" fontId="11" fillId="4" borderId="0" xfId="0" applyFont="1" applyFill="1" applyBorder="1"/>
    <xf numFmtId="0" fontId="136" fillId="4" borderId="8" xfId="0" applyFont="1" applyFill="1" applyBorder="1" applyAlignment="1">
      <alignment horizontal="center"/>
    </xf>
    <xf numFmtId="0" fontId="7" fillId="0" borderId="0" xfId="0" applyFont="1" applyFill="1" applyAlignment="1">
      <alignment horizontal="center"/>
    </xf>
    <xf numFmtId="0" fontId="3" fillId="0" borderId="0" xfId="0" applyFont="1"/>
    <xf numFmtId="2" fontId="0" fillId="17" borderId="8" xfId="0" applyNumberFormat="1" applyFill="1" applyBorder="1"/>
    <xf numFmtId="2" fontId="11" fillId="8" borderId="1" xfId="0" applyNumberFormat="1" applyFont="1" applyFill="1" applyBorder="1" applyProtection="1">
      <protection locked="0"/>
    </xf>
    <xf numFmtId="1" fontId="7" fillId="8" borderId="1" xfId="0" applyNumberFormat="1" applyFont="1" applyFill="1" applyBorder="1" applyAlignment="1">
      <alignment horizontal="center"/>
    </xf>
    <xf numFmtId="164" fontId="7" fillId="2" borderId="1" xfId="0" applyNumberFormat="1" applyFont="1" applyFill="1" applyBorder="1" applyAlignment="1" applyProtection="1">
      <alignment horizontal="center"/>
      <protection locked="0"/>
    </xf>
    <xf numFmtId="0" fontId="7" fillId="8" borderId="1" xfId="0" applyFont="1" applyFill="1" applyBorder="1" applyAlignment="1" applyProtection="1">
      <alignment horizontal="center"/>
      <protection locked="0"/>
    </xf>
    <xf numFmtId="1" fontId="7" fillId="8" borderId="16" xfId="0" applyNumberFormat="1" applyFont="1" applyFill="1" applyBorder="1" applyAlignment="1" applyProtection="1">
      <alignment horizontal="center"/>
      <protection locked="0"/>
    </xf>
    <xf numFmtId="1" fontId="7" fillId="8" borderId="1" xfId="0" applyNumberFormat="1" applyFont="1" applyFill="1" applyBorder="1" applyAlignment="1" applyProtection="1">
      <alignment horizontal="center"/>
      <protection locked="0"/>
    </xf>
    <xf numFmtId="0" fontId="19" fillId="8" borderId="16" xfId="0" applyFont="1" applyFill="1" applyBorder="1" applyAlignment="1" applyProtection="1">
      <alignment horizontal="center"/>
      <protection locked="0"/>
    </xf>
    <xf numFmtId="2" fontId="0" fillId="0" borderId="0" xfId="0" applyNumberFormat="1" applyFill="1"/>
    <xf numFmtId="2" fontId="11" fillId="4" borderId="1" xfId="0" applyNumberFormat="1" applyFont="1" applyFill="1" applyBorder="1" applyAlignment="1" applyProtection="1">
      <alignment horizontal="right"/>
      <protection locked="0"/>
    </xf>
    <xf numFmtId="0" fontId="10" fillId="0" borderId="0" xfId="0" applyFont="1" applyAlignment="1">
      <alignment horizontal="right"/>
    </xf>
    <xf numFmtId="0" fontId="7" fillId="0" borderId="0" xfId="0" applyFont="1" applyAlignment="1">
      <alignment horizontal="right"/>
    </xf>
    <xf numFmtId="164" fontId="7" fillId="4" borderId="56" xfId="0" applyNumberFormat="1" applyFont="1" applyFill="1" applyBorder="1" applyAlignment="1">
      <alignment horizontal="center"/>
    </xf>
    <xf numFmtId="0" fontId="7" fillId="4" borderId="58" xfId="0" applyFont="1" applyFill="1" applyBorder="1" applyAlignment="1">
      <alignment horizontal="center"/>
    </xf>
    <xf numFmtId="164" fontId="7" fillId="4" borderId="59" xfId="0" applyNumberFormat="1" applyFont="1" applyFill="1" applyBorder="1" applyAlignment="1">
      <alignment horizontal="center"/>
    </xf>
    <xf numFmtId="164" fontId="7" fillId="4" borderId="17" xfId="0" applyNumberFormat="1" applyFont="1" applyFill="1" applyBorder="1" applyAlignment="1">
      <alignment horizontal="center"/>
    </xf>
    <xf numFmtId="164" fontId="7" fillId="4" borderId="57" xfId="0" applyNumberFormat="1" applyFont="1" applyFill="1" applyBorder="1" applyAlignment="1">
      <alignment horizontal="center"/>
    </xf>
    <xf numFmtId="0" fontId="7" fillId="4" borderId="0" xfId="0" applyFont="1" applyFill="1" applyBorder="1" applyAlignment="1">
      <alignment horizontal="center"/>
    </xf>
    <xf numFmtId="0" fontId="94" fillId="0" borderId="57" xfId="1" applyFont="1" applyBorder="1" applyAlignment="1" applyProtection="1"/>
    <xf numFmtId="0" fontId="255" fillId="0" borderId="1" xfId="0" applyFont="1" applyBorder="1" applyAlignment="1">
      <alignment horizontal="center"/>
    </xf>
    <xf numFmtId="0" fontId="9" fillId="2" borderId="66" xfId="0" applyFont="1" applyFill="1" applyBorder="1" applyAlignment="1">
      <alignment horizontal="center"/>
    </xf>
    <xf numFmtId="0" fontId="38" fillId="6" borderId="47" xfId="1" applyFill="1" applyBorder="1" applyAlignment="1" applyProtection="1">
      <alignment horizontal="center"/>
    </xf>
    <xf numFmtId="0" fontId="190" fillId="0" borderId="1" xfId="1" applyFont="1" applyFill="1" applyBorder="1" applyAlignment="1" applyProtection="1">
      <alignment horizontal="center"/>
    </xf>
    <xf numFmtId="0" fontId="256" fillId="17" borderId="0" xfId="0" applyFont="1" applyFill="1" applyAlignment="1">
      <alignment horizontal="center"/>
    </xf>
    <xf numFmtId="0" fontId="0" fillId="0" borderId="0" xfId="0" applyFill="1" applyBorder="1" applyAlignment="1">
      <alignment horizontal="left"/>
    </xf>
    <xf numFmtId="0" fontId="18" fillId="0" borderId="0" xfId="0" applyFont="1" applyAlignment="1">
      <alignment horizontal="center"/>
    </xf>
    <xf numFmtId="0" fontId="258" fillId="0" borderId="2" xfId="0" applyFont="1" applyFill="1" applyBorder="1" applyAlignment="1" applyProtection="1">
      <alignment horizontal="center"/>
      <protection locked="0"/>
    </xf>
    <xf numFmtId="0" fontId="258" fillId="0" borderId="1" xfId="0" applyFont="1" applyFill="1" applyBorder="1" applyAlignment="1" applyProtection="1">
      <alignment horizontal="center"/>
      <protection locked="0"/>
    </xf>
    <xf numFmtId="0" fontId="258" fillId="0" borderId="1" xfId="0" applyFont="1" applyFill="1" applyBorder="1" applyAlignment="1">
      <alignment horizontal="center"/>
    </xf>
    <xf numFmtId="0" fontId="0" fillId="2" borderId="26" xfId="0" applyFill="1" applyBorder="1" applyAlignment="1">
      <alignment horizontal="center"/>
    </xf>
    <xf numFmtId="1" fontId="7" fillId="10" borderId="0" xfId="0" applyNumberFormat="1" applyFont="1" applyFill="1" applyBorder="1" applyAlignment="1">
      <alignment horizontal="center"/>
    </xf>
    <xf numFmtId="0" fontId="7" fillId="4" borderId="13" xfId="0" applyFont="1" applyFill="1" applyBorder="1" applyAlignment="1">
      <alignment horizontal="center"/>
    </xf>
    <xf numFmtId="0" fontId="7" fillId="5" borderId="13" xfId="0" applyFont="1" applyFill="1" applyBorder="1" applyAlignment="1">
      <alignment horizontal="center"/>
    </xf>
    <xf numFmtId="1" fontId="63" fillId="5" borderId="13" xfId="0" applyNumberFormat="1" applyFont="1" applyFill="1" applyBorder="1" applyAlignment="1">
      <alignment horizontal="center"/>
    </xf>
    <xf numFmtId="1" fontId="63" fillId="4" borderId="1" xfId="0" applyNumberFormat="1" applyFont="1" applyFill="1" applyBorder="1" applyAlignment="1">
      <alignment horizontal="center"/>
    </xf>
    <xf numFmtId="1" fontId="63" fillId="4" borderId="13" xfId="0" applyNumberFormat="1" applyFont="1" applyFill="1" applyBorder="1" applyAlignment="1">
      <alignment horizontal="center"/>
    </xf>
    <xf numFmtId="1" fontId="63" fillId="5" borderId="1" xfId="0" applyNumberFormat="1" applyFont="1" applyFill="1" applyBorder="1" applyAlignment="1">
      <alignment horizontal="center"/>
    </xf>
    <xf numFmtId="0" fontId="4" fillId="4" borderId="23" xfId="0" applyFont="1" applyFill="1" applyBorder="1" applyAlignment="1">
      <alignment horizontal="center"/>
    </xf>
    <xf numFmtId="1" fontId="53" fillId="4" borderId="24" xfId="0" applyNumberFormat="1" applyFont="1" applyFill="1" applyBorder="1" applyAlignment="1">
      <alignment horizontal="center"/>
    </xf>
    <xf numFmtId="0" fontId="4" fillId="5" borderId="23" xfId="0" applyFont="1" applyFill="1" applyBorder="1" applyAlignment="1">
      <alignment horizontal="center"/>
    </xf>
    <xf numFmtId="1" fontId="53" fillId="5" borderId="24" xfId="0" applyNumberFormat="1" applyFont="1" applyFill="1" applyBorder="1" applyAlignment="1">
      <alignment horizontal="center"/>
    </xf>
    <xf numFmtId="1" fontId="4" fillId="4" borderId="24" xfId="0" applyNumberFormat="1" applyFont="1" applyFill="1" applyBorder="1" applyAlignment="1">
      <alignment horizontal="center"/>
    </xf>
    <xf numFmtId="1" fontId="4" fillId="5" borderId="24" xfId="0" applyNumberFormat="1" applyFont="1" applyFill="1" applyBorder="1" applyAlignment="1">
      <alignment horizontal="center"/>
    </xf>
    <xf numFmtId="0" fontId="0" fillId="4" borderId="16" xfId="0" applyFill="1" applyBorder="1" applyAlignment="1">
      <alignment vertical="center"/>
    </xf>
    <xf numFmtId="0" fontId="6" fillId="4" borderId="1" xfId="0" applyFont="1" applyFill="1" applyBorder="1" applyAlignment="1">
      <alignment horizontal="center" vertical="center"/>
    </xf>
    <xf numFmtId="0" fontId="0" fillId="4" borderId="77" xfId="0" applyFill="1" applyBorder="1" applyAlignment="1">
      <alignment vertical="center"/>
    </xf>
    <xf numFmtId="0" fontId="6" fillId="4" borderId="5" xfId="0" applyFont="1" applyFill="1" applyBorder="1" applyAlignment="1">
      <alignment horizontal="center" vertical="center"/>
    </xf>
    <xf numFmtId="0" fontId="16" fillId="0" borderId="36" xfId="0" applyFont="1" applyBorder="1" applyAlignment="1">
      <alignment horizontal="center"/>
    </xf>
    <xf numFmtId="0" fontId="10" fillId="4" borderId="40" xfId="0" applyFont="1" applyFill="1" applyBorder="1" applyAlignment="1">
      <alignment vertical="center"/>
    </xf>
    <xf numFmtId="0" fontId="82" fillId="0" borderId="0" xfId="0" applyFont="1" applyBorder="1" applyAlignment="1">
      <alignment horizontal="center"/>
    </xf>
    <xf numFmtId="0" fontId="87" fillId="0" borderId="42" xfId="0" applyFont="1" applyBorder="1"/>
    <xf numFmtId="0" fontId="87" fillId="0" borderId="55" xfId="0" applyFont="1" applyBorder="1"/>
    <xf numFmtId="0" fontId="9" fillId="2" borderId="10" xfId="0" applyFont="1" applyFill="1" applyBorder="1" applyAlignment="1">
      <alignment horizontal="center" vertical="center"/>
    </xf>
    <xf numFmtId="0" fontId="0" fillId="5" borderId="0" xfId="0" applyFill="1"/>
    <xf numFmtId="0" fontId="7" fillId="4" borderId="45" xfId="0" applyFont="1" applyFill="1" applyBorder="1" applyAlignment="1">
      <alignment vertical="center"/>
    </xf>
    <xf numFmtId="0" fontId="189" fillId="0" borderId="8" xfId="0" applyFont="1" applyBorder="1" applyAlignment="1">
      <alignment horizontal="centerContinuous"/>
    </xf>
    <xf numFmtId="0" fontId="189" fillId="0" borderId="13" xfId="0" applyFont="1" applyBorder="1" applyAlignment="1">
      <alignment horizontal="centerContinuous"/>
    </xf>
    <xf numFmtId="0" fontId="188" fillId="0" borderId="0" xfId="0" applyFont="1"/>
    <xf numFmtId="0" fontId="265" fillId="5" borderId="1" xfId="0" applyFont="1" applyFill="1" applyBorder="1"/>
    <xf numFmtId="0" fontId="10" fillId="0" borderId="0" xfId="0" applyFont="1" applyBorder="1" applyAlignment="1" applyProtection="1">
      <alignment horizontal="center"/>
    </xf>
    <xf numFmtId="0" fontId="257" fillId="0" borderId="0" xfId="0" applyFont="1" applyBorder="1"/>
    <xf numFmtId="0" fontId="20" fillId="0" borderId="0" xfId="0" applyFont="1" applyBorder="1"/>
    <xf numFmtId="2" fontId="53" fillId="0" borderId="0" xfId="0" applyNumberFormat="1" applyFont="1" applyFill="1" applyBorder="1" applyProtection="1"/>
    <xf numFmtId="2" fontId="4" fillId="0" borderId="0" xfId="0" applyNumberFormat="1" applyFont="1" applyProtection="1"/>
    <xf numFmtId="0" fontId="15" fillId="0" borderId="0" xfId="0" applyFont="1" applyAlignment="1" applyProtection="1">
      <alignment horizontal="right"/>
    </xf>
    <xf numFmtId="0" fontId="20" fillId="0" borderId="0" xfId="0" applyFont="1" applyAlignment="1" applyProtection="1">
      <alignment horizontal="center"/>
    </xf>
    <xf numFmtId="0" fontId="10" fillId="0" borderId="0" xfId="0" applyFont="1" applyAlignment="1" applyProtection="1">
      <alignment horizontal="center"/>
    </xf>
    <xf numFmtId="0" fontId="10" fillId="7" borderId="17" xfId="0" applyFont="1" applyFill="1" applyBorder="1" applyAlignment="1" applyProtection="1">
      <alignment horizontal="center"/>
    </xf>
    <xf numFmtId="0" fontId="251" fillId="0" borderId="0" xfId="0" applyFont="1" applyAlignment="1" applyProtection="1"/>
    <xf numFmtId="0" fontId="266" fillId="0" borderId="0" xfId="0" applyFont="1" applyAlignment="1"/>
    <xf numFmtId="0" fontId="10" fillId="0" borderId="0" xfId="0" applyFont="1" applyAlignment="1" applyProtection="1">
      <alignment horizontal="right"/>
    </xf>
    <xf numFmtId="0" fontId="10" fillId="0" borderId="0" xfId="0" applyFont="1" applyFill="1" applyBorder="1" applyAlignment="1" applyProtection="1">
      <alignment horizontal="center"/>
    </xf>
    <xf numFmtId="0" fontId="15" fillId="0" borderId="0" xfId="0" applyFont="1" applyAlignment="1" applyProtection="1">
      <alignment horizontal="center"/>
    </xf>
    <xf numFmtId="0" fontId="75" fillId="0" borderId="0" xfId="0" applyFont="1" applyAlignment="1" applyProtection="1">
      <alignment horizontal="right"/>
    </xf>
    <xf numFmtId="2" fontId="10" fillId="7" borderId="17" xfId="0" applyNumberFormat="1" applyFont="1" applyFill="1" applyBorder="1" applyAlignment="1" applyProtection="1">
      <alignment horizontal="center"/>
    </xf>
    <xf numFmtId="2" fontId="10" fillId="0" borderId="0" xfId="0" applyNumberFormat="1" applyFont="1" applyFill="1" applyBorder="1" applyAlignment="1" applyProtection="1">
      <alignment horizontal="center"/>
    </xf>
    <xf numFmtId="0" fontId="15" fillId="0" borderId="8" xfId="0" applyFont="1" applyBorder="1" applyAlignment="1" applyProtection="1">
      <alignment horizontal="left"/>
    </xf>
    <xf numFmtId="0" fontId="0" fillId="0" borderId="0" xfId="0" applyBorder="1" applyAlignment="1">
      <alignment horizontal="right"/>
    </xf>
    <xf numFmtId="2" fontId="19" fillId="7" borderId="17" xfId="0" applyNumberFormat="1" applyFont="1" applyFill="1" applyBorder="1" applyAlignment="1" applyProtection="1">
      <alignment horizontal="center"/>
    </xf>
    <xf numFmtId="0" fontId="68" fillId="5" borderId="1" xfId="0" applyFont="1" applyFill="1" applyBorder="1" applyAlignment="1">
      <alignment horizontal="left"/>
    </xf>
    <xf numFmtId="164" fontId="10" fillId="7" borderId="1" xfId="0" applyNumberFormat="1" applyFont="1" applyFill="1" applyBorder="1" applyAlignment="1" applyProtection="1">
      <alignment horizontal="center"/>
    </xf>
    <xf numFmtId="0" fontId="269" fillId="0" borderId="0" xfId="0" applyFont="1" applyBorder="1" applyAlignment="1">
      <alignment horizontal="center"/>
    </xf>
    <xf numFmtId="0" fontId="75" fillId="0" borderId="0" xfId="0" applyFont="1" applyBorder="1" applyAlignment="1" applyProtection="1">
      <alignment horizontal="center"/>
    </xf>
    <xf numFmtId="0" fontId="70" fillId="0" borderId="1" xfId="0" applyFont="1" applyBorder="1" applyAlignment="1">
      <alignment horizontal="center"/>
    </xf>
    <xf numFmtId="9" fontId="10" fillId="10" borderId="1" xfId="0" applyNumberFormat="1" applyFont="1" applyFill="1" applyBorder="1" applyAlignment="1" applyProtection="1">
      <alignment horizontal="center"/>
    </xf>
    <xf numFmtId="0" fontId="70" fillId="0" borderId="0" xfId="0" applyFont="1" applyFill="1" applyBorder="1" applyAlignment="1">
      <alignment horizontal="center"/>
    </xf>
    <xf numFmtId="164" fontId="10" fillId="0" borderId="0" xfId="0" applyNumberFormat="1" applyFont="1" applyFill="1" applyBorder="1" applyAlignment="1" applyProtection="1">
      <alignment horizontal="center"/>
    </xf>
    <xf numFmtId="9" fontId="10" fillId="0" borderId="0" xfId="0" applyNumberFormat="1" applyFont="1" applyFill="1" applyBorder="1" applyAlignment="1" applyProtection="1">
      <alignment horizontal="center"/>
    </xf>
    <xf numFmtId="0" fontId="10" fillId="0" borderId="0" xfId="0" applyFont="1" applyBorder="1" applyAlignment="1" applyProtection="1">
      <alignment horizontal="right"/>
    </xf>
    <xf numFmtId="0" fontId="20" fillId="0" borderId="0" xfId="0" applyFont="1" applyAlignment="1" applyProtection="1">
      <alignment horizontal="right"/>
    </xf>
    <xf numFmtId="164" fontId="75" fillId="0" borderId="0" xfId="0" applyNumberFormat="1" applyFont="1" applyFill="1" applyBorder="1" applyAlignment="1" applyProtection="1">
      <alignment horizontal="center"/>
    </xf>
    <xf numFmtId="0" fontId="75" fillId="0" borderId="1" xfId="0" applyFont="1" applyBorder="1" applyAlignment="1" applyProtection="1">
      <alignment horizontal="left"/>
    </xf>
    <xf numFmtId="0" fontId="75" fillId="0" borderId="8" xfId="0" applyFont="1" applyBorder="1" applyAlignment="1" applyProtection="1">
      <alignment horizontal="left"/>
    </xf>
    <xf numFmtId="164" fontId="26" fillId="0" borderId="0" xfId="0" applyNumberFormat="1" applyFont="1" applyFill="1" applyBorder="1" applyAlignment="1" applyProtection="1">
      <alignment horizontal="right"/>
    </xf>
    <xf numFmtId="2" fontId="75" fillId="0" borderId="1" xfId="0" applyNumberFormat="1" applyFont="1" applyBorder="1" applyAlignment="1" applyProtection="1">
      <alignment horizontal="center"/>
    </xf>
    <xf numFmtId="2" fontId="23" fillId="7" borderId="17" xfId="0" applyNumberFormat="1" applyFont="1" applyFill="1" applyBorder="1" applyAlignment="1" applyProtection="1">
      <alignment horizontal="center"/>
    </xf>
    <xf numFmtId="2" fontId="251" fillId="5" borderId="1" xfId="0" applyNumberFormat="1" applyFont="1" applyFill="1" applyBorder="1" applyAlignment="1" applyProtection="1">
      <alignment horizontal="center"/>
    </xf>
    <xf numFmtId="0" fontId="68" fillId="0" borderId="0" xfId="0" applyFont="1" applyFill="1" applyBorder="1" applyAlignment="1">
      <alignment horizontal="left"/>
    </xf>
    <xf numFmtId="0" fontId="68" fillId="0" borderId="0" xfId="0" applyFont="1" applyFill="1" applyBorder="1" applyAlignment="1"/>
    <xf numFmtId="0" fontId="242" fillId="0" borderId="0" xfId="1" applyFont="1" applyFill="1" applyAlignment="1" applyProtection="1">
      <alignment horizontal="center"/>
    </xf>
    <xf numFmtId="0" fontId="75" fillId="0" borderId="0" xfId="0" applyFont="1" applyAlignment="1" applyProtection="1">
      <alignment horizontal="center"/>
    </xf>
    <xf numFmtId="0" fontId="67" fillId="0" borderId="0" xfId="0" applyFont="1" applyFill="1" applyBorder="1" applyAlignment="1">
      <alignment horizontal="left"/>
    </xf>
    <xf numFmtId="0" fontId="140" fillId="0" borderId="0" xfId="0" applyFont="1" applyProtection="1">
      <protection locked="0"/>
    </xf>
    <xf numFmtId="0" fontId="4" fillId="0" borderId="0" xfId="0" applyFont="1" applyProtection="1">
      <protection locked="0"/>
    </xf>
    <xf numFmtId="9" fontId="75" fillId="2" borderId="1" xfId="0" applyNumberFormat="1" applyFont="1" applyFill="1" applyBorder="1" applyAlignment="1" applyProtection="1">
      <alignment horizontal="center"/>
      <protection locked="0"/>
    </xf>
    <xf numFmtId="0" fontId="10" fillId="2" borderId="1" xfId="0" applyFont="1" applyFill="1" applyBorder="1" applyAlignment="1" applyProtection="1">
      <alignment horizontal="center"/>
      <protection locked="0"/>
    </xf>
    <xf numFmtId="164" fontId="12" fillId="3" borderId="2" xfId="0" applyNumberFormat="1" applyFont="1" applyFill="1" applyBorder="1" applyAlignment="1">
      <alignment horizontal="center"/>
    </xf>
    <xf numFmtId="0" fontId="122" fillId="2" borderId="1" xfId="1" applyFont="1" applyFill="1" applyBorder="1" applyAlignment="1" applyProtection="1"/>
    <xf numFmtId="0" fontId="19" fillId="0" borderId="16" xfId="0" applyFont="1" applyBorder="1" applyAlignment="1" applyProtection="1">
      <alignment horizontal="center"/>
      <protection locked="0"/>
    </xf>
    <xf numFmtId="0" fontId="19" fillId="0" borderId="0" xfId="0" applyFont="1" applyBorder="1" applyAlignment="1" applyProtection="1">
      <alignment horizontal="center"/>
      <protection locked="0"/>
    </xf>
    <xf numFmtId="164" fontId="19" fillId="2" borderId="34" xfId="0" applyNumberFormat="1" applyFont="1" applyFill="1" applyBorder="1" applyAlignment="1" applyProtection="1">
      <alignment horizontal="center"/>
      <protection locked="0"/>
    </xf>
    <xf numFmtId="0" fontId="9" fillId="2" borderId="18" xfId="0" applyFont="1" applyFill="1" applyBorder="1" applyAlignment="1">
      <alignment horizontal="center"/>
    </xf>
    <xf numFmtId="0" fontId="86" fillId="0" borderId="1" xfId="0" applyFont="1" applyBorder="1"/>
    <xf numFmtId="0" fontId="271" fillId="0" borderId="1" xfId="0" applyFont="1" applyBorder="1" applyAlignment="1">
      <alignment horizontal="center"/>
    </xf>
    <xf numFmtId="0" fontId="19" fillId="2" borderId="0" xfId="0" applyFont="1" applyFill="1" applyBorder="1" applyProtection="1">
      <protection locked="0"/>
    </xf>
    <xf numFmtId="0" fontId="10" fillId="0" borderId="0" xfId="0" applyFont="1" applyBorder="1"/>
    <xf numFmtId="0" fontId="19" fillId="0" borderId="0" xfId="0" applyFont="1" applyBorder="1"/>
    <xf numFmtId="0" fontId="3" fillId="0" borderId="0" xfId="0" applyFont="1" applyBorder="1"/>
    <xf numFmtId="0" fontId="176" fillId="0" borderId="0" xfId="0" applyFont="1" applyBorder="1" applyAlignment="1">
      <alignment horizontal="center" vertical="center"/>
    </xf>
    <xf numFmtId="0" fontId="19" fillId="10" borderId="0" xfId="0" applyFont="1" applyFill="1" applyBorder="1" applyProtection="1">
      <protection locked="0"/>
    </xf>
    <xf numFmtId="0" fontId="272" fillId="0" borderId="0" xfId="0" applyFont="1" applyFill="1" applyBorder="1"/>
    <xf numFmtId="9" fontId="19" fillId="2" borderId="1" xfId="0" applyNumberFormat="1" applyFont="1" applyFill="1" applyBorder="1" applyProtection="1">
      <protection locked="0"/>
    </xf>
    <xf numFmtId="0" fontId="273" fillId="0" borderId="0" xfId="0" applyFont="1" applyBorder="1" applyAlignment="1">
      <alignment horizontal="left" vertical="center"/>
    </xf>
    <xf numFmtId="2" fontId="219" fillId="4" borderId="1" xfId="0" applyNumberFormat="1" applyFont="1" applyFill="1" applyBorder="1" applyAlignment="1">
      <alignment horizontal="center"/>
    </xf>
    <xf numFmtId="0" fontId="223" fillId="5" borderId="1" xfId="0" applyFont="1" applyFill="1" applyBorder="1" applyAlignment="1">
      <alignment horizontal="center"/>
    </xf>
    <xf numFmtId="164" fontId="4" fillId="5" borderId="1" xfId="0" applyNumberFormat="1" applyFont="1" applyFill="1" applyBorder="1" applyAlignment="1">
      <alignment horizontal="center"/>
    </xf>
    <xf numFmtId="2" fontId="4" fillId="5" borderId="1" xfId="0" applyNumberFormat="1" applyFont="1" applyFill="1" applyBorder="1" applyAlignment="1">
      <alignment horizontal="center"/>
    </xf>
    <xf numFmtId="0" fontId="275" fillId="0" borderId="0" xfId="0" applyFont="1" applyBorder="1" applyAlignment="1">
      <alignment horizontal="right" vertical="center"/>
    </xf>
    <xf numFmtId="0" fontId="276" fillId="0" borderId="13" xfId="1" applyFont="1" applyBorder="1" applyAlignment="1" applyProtection="1">
      <alignment horizontal="center"/>
    </xf>
    <xf numFmtId="1" fontId="0" fillId="4" borderId="2" xfId="0" applyNumberFormat="1" applyFill="1" applyBorder="1" applyAlignment="1">
      <alignment horizontal="center"/>
    </xf>
    <xf numFmtId="0" fontId="255" fillId="0" borderId="0" xfId="0" applyFont="1" applyBorder="1" applyAlignment="1">
      <alignment horizontal="center"/>
    </xf>
    <xf numFmtId="0" fontId="190" fillId="0" borderId="1" xfId="0" applyFont="1" applyBorder="1" applyAlignment="1">
      <alignment horizontal="center"/>
    </xf>
    <xf numFmtId="0" fontId="0" fillId="2" borderId="19" xfId="0" applyFill="1" applyBorder="1"/>
    <xf numFmtId="0" fontId="19" fillId="8" borderId="35" xfId="0" applyFont="1" applyFill="1" applyBorder="1" applyAlignment="1" applyProtection="1">
      <alignment horizontal="center"/>
      <protection locked="0"/>
    </xf>
    <xf numFmtId="0" fontId="190" fillId="0" borderId="2" xfId="0" applyFont="1" applyBorder="1" applyAlignment="1">
      <alignment horizontal="center"/>
    </xf>
    <xf numFmtId="0" fontId="3" fillId="4" borderId="13" xfId="0" applyFont="1" applyFill="1" applyBorder="1" applyAlignment="1">
      <alignment horizontal="center"/>
    </xf>
    <xf numFmtId="2" fontId="237" fillId="4" borderId="1" xfId="0" applyNumberFormat="1" applyFont="1" applyFill="1" applyBorder="1" applyAlignment="1" applyProtection="1">
      <alignment horizontal="center"/>
    </xf>
    <xf numFmtId="0" fontId="0" fillId="4" borderId="44" xfId="0" applyFill="1" applyBorder="1"/>
    <xf numFmtId="0" fontId="0" fillId="4" borderId="71" xfId="0" applyFill="1" applyBorder="1"/>
    <xf numFmtId="1" fontId="7" fillId="4" borderId="25" xfId="0" applyNumberFormat="1" applyFont="1" applyFill="1" applyBorder="1" applyAlignment="1">
      <alignment horizontal="center"/>
    </xf>
    <xf numFmtId="0" fontId="0" fillId="4" borderId="45" xfId="0" applyFill="1" applyBorder="1"/>
    <xf numFmtId="0" fontId="0" fillId="4" borderId="46" xfId="0" applyFill="1" applyBorder="1"/>
    <xf numFmtId="0" fontId="0" fillId="4" borderId="54" xfId="0" applyFill="1" applyBorder="1"/>
    <xf numFmtId="1" fontId="7" fillId="4" borderId="5" xfId="0" applyNumberFormat="1" applyFont="1" applyFill="1" applyBorder="1" applyAlignment="1">
      <alignment horizontal="center"/>
    </xf>
    <xf numFmtId="174" fontId="11" fillId="4" borderId="1" xfId="0" applyNumberFormat="1" applyFont="1" applyFill="1" applyBorder="1" applyAlignment="1">
      <alignment horizontal="center"/>
    </xf>
    <xf numFmtId="164" fontId="7" fillId="2" borderId="13" xfId="0" applyNumberFormat="1" applyFont="1" applyFill="1" applyBorder="1" applyAlignment="1">
      <alignment horizontal="center"/>
    </xf>
    <xf numFmtId="0" fontId="258" fillId="0" borderId="16" xfId="0" applyFont="1" applyFill="1" applyBorder="1" applyAlignment="1" applyProtection="1">
      <alignment horizontal="center"/>
      <protection locked="0"/>
    </xf>
    <xf numFmtId="0" fontId="258" fillId="0" borderId="25" xfId="0" applyFont="1" applyFill="1" applyBorder="1" applyAlignment="1" applyProtection="1">
      <alignment horizontal="center"/>
      <protection locked="0"/>
    </xf>
    <xf numFmtId="0" fontId="46" fillId="0" borderId="10" xfId="0" applyFont="1" applyBorder="1" applyAlignment="1">
      <alignment horizontal="center"/>
    </xf>
    <xf numFmtId="0" fontId="258" fillId="0" borderId="5" xfId="0" applyFont="1" applyFill="1" applyBorder="1" applyAlignment="1" applyProtection="1">
      <alignment horizontal="center"/>
      <protection locked="0"/>
    </xf>
    <xf numFmtId="0" fontId="211" fillId="0" borderId="5" xfId="0" applyFont="1" applyBorder="1" applyAlignment="1">
      <alignment horizontal="center"/>
    </xf>
    <xf numFmtId="0" fontId="46" fillId="0" borderId="5" xfId="0" applyFont="1" applyBorder="1" applyAlignment="1">
      <alignment horizontal="center"/>
    </xf>
    <xf numFmtId="0" fontId="46" fillId="0" borderId="6" xfId="0" applyFont="1" applyBorder="1" applyAlignment="1">
      <alignment horizontal="center"/>
    </xf>
    <xf numFmtId="1" fontId="140" fillId="0" borderId="22" xfId="0" applyNumberFormat="1" applyFont="1" applyBorder="1" applyAlignment="1">
      <alignment horizontal="center"/>
    </xf>
    <xf numFmtId="2" fontId="189" fillId="0" borderId="17" xfId="0" applyNumberFormat="1" applyFont="1" applyBorder="1" applyAlignment="1">
      <alignment horizontal="center"/>
    </xf>
    <xf numFmtId="0" fontId="24" fillId="13" borderId="8" xfId="0" applyFont="1" applyFill="1" applyBorder="1" applyAlignment="1">
      <alignment horizontal="center"/>
    </xf>
    <xf numFmtId="0" fontId="0" fillId="13" borderId="18" xfId="0" applyFill="1" applyBorder="1" applyAlignment="1">
      <alignment horizontal="center"/>
    </xf>
    <xf numFmtId="0" fontId="2" fillId="2" borderId="8" xfId="0" applyFont="1" applyFill="1" applyBorder="1" applyAlignment="1">
      <alignment horizontal="left"/>
    </xf>
    <xf numFmtId="0" fontId="147" fillId="0" borderId="0" xfId="0" applyFont="1" applyFill="1" applyBorder="1"/>
    <xf numFmtId="2" fontId="183" fillId="0" borderId="0" xfId="0" applyNumberFormat="1" applyFont="1" applyBorder="1" applyAlignment="1">
      <alignment horizontal="left"/>
    </xf>
    <xf numFmtId="2" fontId="189" fillId="11" borderId="1" xfId="0" applyNumberFormat="1" applyFont="1" applyFill="1" applyBorder="1" applyAlignment="1">
      <alignment horizontal="left" vertical="center"/>
    </xf>
    <xf numFmtId="0" fontId="0" fillId="11" borderId="18" xfId="0" applyFill="1" applyBorder="1" applyAlignment="1">
      <alignment horizontal="left"/>
    </xf>
    <xf numFmtId="0" fontId="0" fillId="11" borderId="18" xfId="0" applyFill="1" applyBorder="1"/>
    <xf numFmtId="0" fontId="0" fillId="11" borderId="13" xfId="0" applyFill="1" applyBorder="1" applyAlignment="1">
      <alignment horizontal="left"/>
    </xf>
    <xf numFmtId="0" fontId="12" fillId="0" borderId="1" xfId="0" applyFont="1" applyBorder="1" applyAlignment="1">
      <alignment horizontal="center"/>
    </xf>
    <xf numFmtId="2" fontId="82" fillId="5" borderId="1" xfId="0" applyNumberFormat="1" applyFont="1" applyFill="1" applyBorder="1" applyAlignment="1">
      <alignment horizontal="center"/>
    </xf>
    <xf numFmtId="2" fontId="120" fillId="4" borderId="1" xfId="0" applyNumberFormat="1" applyFont="1" applyFill="1" applyBorder="1" applyAlignment="1">
      <alignment horizontal="center"/>
    </xf>
    <xf numFmtId="0" fontId="23" fillId="0" borderId="1" xfId="0" applyFont="1" applyBorder="1"/>
    <xf numFmtId="2" fontId="28" fillId="0" borderId="0" xfId="0" applyNumberFormat="1" applyFont="1" applyFill="1" applyBorder="1" applyAlignment="1">
      <alignment horizontal="center" vertical="center"/>
    </xf>
    <xf numFmtId="0" fontId="138" fillId="2" borderId="1" xfId="1" applyFont="1" applyFill="1" applyBorder="1" applyAlignment="1" applyProtection="1"/>
    <xf numFmtId="164" fontId="10" fillId="2" borderId="1" xfId="0" applyNumberFormat="1" applyFont="1" applyFill="1" applyBorder="1" applyAlignment="1">
      <alignment horizontal="center"/>
    </xf>
    <xf numFmtId="0" fontId="122" fillId="2" borderId="1" xfId="1" applyFont="1" applyFill="1" applyBorder="1" applyAlignment="1" applyProtection="1">
      <alignment horizontal="left"/>
    </xf>
    <xf numFmtId="0" fontId="75" fillId="0" borderId="0" xfId="0" applyFont="1" applyFill="1" applyBorder="1" applyAlignment="1">
      <alignment horizontal="center"/>
    </xf>
    <xf numFmtId="174" fontId="19" fillId="0" borderId="0" xfId="0" applyNumberFormat="1" applyFont="1" applyFill="1" applyBorder="1" applyProtection="1">
      <protection locked="0"/>
    </xf>
    <xf numFmtId="0" fontId="37" fillId="0" borderId="0" xfId="0" applyFont="1" applyFill="1" applyBorder="1"/>
    <xf numFmtId="0" fontId="0" fillId="2" borderId="20" xfId="0" applyFill="1" applyBorder="1"/>
    <xf numFmtId="0" fontId="10" fillId="0" borderId="8" xfId="0" applyFont="1" applyBorder="1" applyAlignment="1">
      <alignment horizontal="left"/>
    </xf>
    <xf numFmtId="0" fontId="10" fillId="0" borderId="18" xfId="0" applyFont="1" applyBorder="1" applyAlignment="1">
      <alignment horizontal="left"/>
    </xf>
    <xf numFmtId="0" fontId="10" fillId="0" borderId="13" xfId="0" applyFont="1" applyBorder="1" applyAlignment="1">
      <alignment horizontal="left"/>
    </xf>
    <xf numFmtId="0" fontId="10" fillId="5" borderId="1" xfId="0" applyFont="1" applyFill="1" applyBorder="1" applyAlignment="1">
      <alignment horizontal="center"/>
    </xf>
    <xf numFmtId="0" fontId="98" fillId="0" borderId="0" xfId="0" applyFont="1" applyAlignment="1">
      <alignment horizontal="right"/>
    </xf>
    <xf numFmtId="0" fontId="282" fillId="0" borderId="13" xfId="1" applyFont="1" applyBorder="1" applyAlignment="1" applyProtection="1"/>
    <xf numFmtId="0" fontId="100" fillId="24" borderId="8" xfId="0" applyFont="1" applyFill="1" applyBorder="1" applyAlignment="1">
      <alignment horizontal="left"/>
    </xf>
    <xf numFmtId="0" fontId="100" fillId="24" borderId="7" xfId="0" applyFont="1" applyFill="1" applyBorder="1" applyAlignment="1">
      <alignment horizontal="left"/>
    </xf>
    <xf numFmtId="0" fontId="133" fillId="6" borderId="13" xfId="1" applyFont="1" applyFill="1" applyBorder="1" applyAlignment="1" applyProtection="1">
      <alignment horizontal="left"/>
    </xf>
    <xf numFmtId="0" fontId="283" fillId="6" borderId="8" xfId="0" applyFont="1" applyFill="1" applyBorder="1" applyAlignment="1">
      <alignment horizontal="left"/>
    </xf>
    <xf numFmtId="0" fontId="132" fillId="6" borderId="13" xfId="1" applyFont="1" applyFill="1" applyBorder="1" applyAlignment="1" applyProtection="1">
      <alignment horizontal="left"/>
    </xf>
    <xf numFmtId="0" fontId="129" fillId="6" borderId="13" xfId="1" applyFont="1" applyFill="1" applyBorder="1" applyAlignment="1" applyProtection="1">
      <alignment horizontal="left"/>
    </xf>
    <xf numFmtId="0" fontId="128" fillId="6" borderId="13" xfId="1" applyFont="1" applyFill="1" applyBorder="1" applyAlignment="1" applyProtection="1">
      <alignment horizontal="left"/>
    </xf>
    <xf numFmtId="0" fontId="131" fillId="6" borderId="13" xfId="1" applyFont="1" applyFill="1" applyBorder="1" applyAlignment="1" applyProtection="1">
      <alignment horizontal="left"/>
    </xf>
    <xf numFmtId="2" fontId="7" fillId="4" borderId="16" xfId="0" applyNumberFormat="1" applyFont="1" applyFill="1" applyBorder="1" applyAlignment="1">
      <alignment horizontal="center"/>
    </xf>
    <xf numFmtId="2" fontId="7" fillId="4" borderId="2" xfId="0" applyNumberFormat="1" applyFont="1" applyFill="1" applyBorder="1" applyAlignment="1">
      <alignment horizontal="center"/>
    </xf>
    <xf numFmtId="2" fontId="7" fillId="4" borderId="8" xfId="0" applyNumberFormat="1" applyFont="1" applyFill="1" applyBorder="1"/>
    <xf numFmtId="2" fontId="7" fillId="4" borderId="13" xfId="0" applyNumberFormat="1" applyFont="1" applyFill="1" applyBorder="1" applyAlignment="1">
      <alignment horizontal="left"/>
    </xf>
    <xf numFmtId="0" fontId="166" fillId="7" borderId="8" xfId="0" applyFont="1" applyFill="1" applyBorder="1" applyAlignment="1">
      <alignment horizontal="center"/>
    </xf>
    <xf numFmtId="0" fontId="0" fillId="0" borderId="13" xfId="0" applyBorder="1" applyAlignment="1"/>
    <xf numFmtId="0" fontId="77" fillId="0" borderId="0" xfId="0" applyFont="1" applyAlignment="1">
      <alignment horizontal="center"/>
    </xf>
    <xf numFmtId="0" fontId="0" fillId="0" borderId="0" xfId="0" applyAlignment="1">
      <alignment horizontal="center"/>
    </xf>
    <xf numFmtId="0" fontId="49" fillId="7" borderId="8" xfId="0" applyFont="1" applyFill="1" applyBorder="1" applyAlignment="1">
      <alignment horizontal="center"/>
    </xf>
    <xf numFmtId="0" fontId="66" fillId="6" borderId="0" xfId="0" applyFont="1" applyFill="1" applyBorder="1" applyAlignment="1">
      <alignment horizontal="center"/>
    </xf>
    <xf numFmtId="0" fontId="0" fillId="0" borderId="0" xfId="0" applyAlignment="1"/>
    <xf numFmtId="0" fontId="97" fillId="6" borderId="0" xfId="1" applyFont="1" applyFill="1" applyBorder="1" applyAlignment="1" applyProtection="1">
      <alignment horizontal="center"/>
    </xf>
    <xf numFmtId="0" fontId="97" fillId="0" borderId="0" xfId="1" applyFont="1" applyAlignment="1" applyProtection="1"/>
    <xf numFmtId="0" fontId="134" fillId="2" borderId="8" xfId="0" applyFont="1" applyFill="1" applyBorder="1" applyAlignment="1">
      <alignment horizontal="center"/>
    </xf>
    <xf numFmtId="0" fontId="57" fillId="2" borderId="13" xfId="0" applyFont="1" applyFill="1" applyBorder="1" applyAlignment="1"/>
    <xf numFmtId="0" fontId="130" fillId="6" borderId="0" xfId="0" applyFont="1" applyFill="1" applyBorder="1" applyAlignment="1">
      <alignment horizontal="center"/>
    </xf>
    <xf numFmtId="0" fontId="57" fillId="0" borderId="0" xfId="0" applyFont="1" applyAlignment="1"/>
    <xf numFmtId="0" fontId="165" fillId="7" borderId="8" xfId="0" applyFont="1" applyFill="1" applyBorder="1" applyAlignment="1">
      <alignment horizontal="center"/>
    </xf>
    <xf numFmtId="0" fontId="11" fillId="25" borderId="0" xfId="0" applyFont="1" applyFill="1" applyAlignment="1">
      <alignment horizontal="center"/>
    </xf>
    <xf numFmtId="0" fontId="11" fillId="17" borderId="55" xfId="0" applyFont="1" applyFill="1" applyBorder="1" applyAlignment="1">
      <alignment horizontal="center"/>
    </xf>
    <xf numFmtId="0" fontId="38" fillId="13" borderId="0" xfId="1" applyFill="1" applyBorder="1" applyAlignment="1" applyProtection="1">
      <alignment horizontal="center"/>
    </xf>
    <xf numFmtId="0" fontId="38" fillId="13" borderId="0" xfId="1" applyFill="1" applyAlignment="1" applyProtection="1"/>
    <xf numFmtId="0" fontId="254" fillId="17" borderId="0" xfId="1" applyFont="1" applyFill="1" applyBorder="1" applyAlignment="1" applyProtection="1">
      <alignment horizontal="center" vertical="center" textRotation="90"/>
    </xf>
    <xf numFmtId="0" fontId="254" fillId="17" borderId="0" xfId="1" applyFont="1" applyFill="1" applyAlignment="1" applyProtection="1">
      <alignment horizontal="center" vertical="center" textRotation="90"/>
    </xf>
    <xf numFmtId="0" fontId="204" fillId="10" borderId="8" xfId="0" applyFont="1" applyFill="1" applyBorder="1" applyAlignment="1">
      <alignment horizontal="center"/>
    </xf>
    <xf numFmtId="0" fontId="0" fillId="0" borderId="18" xfId="0" applyBorder="1" applyAlignment="1">
      <alignment horizontal="center"/>
    </xf>
    <xf numFmtId="0" fontId="0" fillId="0" borderId="13" xfId="0" applyBorder="1" applyAlignment="1">
      <alignment horizontal="center"/>
    </xf>
    <xf numFmtId="0" fontId="145" fillId="6" borderId="7" xfId="1" applyFont="1" applyFill="1" applyBorder="1" applyAlignment="1" applyProtection="1">
      <alignment horizontal="center"/>
    </xf>
    <xf numFmtId="0" fontId="145" fillId="0" borderId="55" xfId="1" applyFont="1" applyBorder="1" applyAlignment="1" applyProtection="1">
      <alignment horizontal="center"/>
    </xf>
    <xf numFmtId="0" fontId="145" fillId="0" borderId="43" xfId="1" applyFont="1" applyBorder="1" applyAlignment="1" applyProtection="1">
      <alignment horizontal="center"/>
    </xf>
    <xf numFmtId="0" fontId="206" fillId="0" borderId="29" xfId="0" applyFont="1" applyBorder="1" applyAlignment="1">
      <alignment horizontal="center" vertical="center"/>
    </xf>
    <xf numFmtId="0" fontId="68" fillId="0" borderId="31" xfId="0" applyFont="1" applyBorder="1" applyAlignment="1">
      <alignment horizontal="center" vertical="center"/>
    </xf>
    <xf numFmtId="0" fontId="207" fillId="0" borderId="47" xfId="0" applyFont="1" applyBorder="1" applyAlignment="1">
      <alignment horizontal="center" vertical="center"/>
    </xf>
    <xf numFmtId="0" fontId="212" fillId="0" borderId="0" xfId="0" applyFont="1" applyBorder="1" applyAlignment="1">
      <alignment horizontal="center"/>
    </xf>
    <xf numFmtId="0" fontId="2" fillId="0" borderId="0" xfId="0" applyFont="1" applyBorder="1" applyAlignment="1">
      <alignment horizontal="center"/>
    </xf>
    <xf numFmtId="0" fontId="46" fillId="0" borderId="81" xfId="0" applyFont="1" applyBorder="1" applyAlignment="1">
      <alignment horizontal="center" vertical="center"/>
    </xf>
    <xf numFmtId="0" fontId="0" fillId="0" borderId="78" xfId="0" applyBorder="1" applyAlignment="1"/>
    <xf numFmtId="0" fontId="206" fillId="0" borderId="29" xfId="0" applyFont="1" applyBorder="1" applyAlignment="1">
      <alignment horizontal="center"/>
    </xf>
    <xf numFmtId="0" fontId="68" fillId="0" borderId="31" xfId="0" applyFont="1" applyBorder="1" applyAlignment="1">
      <alignment horizontal="center"/>
    </xf>
    <xf numFmtId="0" fontId="207" fillId="0" borderId="47" xfId="0" applyFont="1" applyBorder="1" applyAlignment="1">
      <alignment horizontal="center"/>
    </xf>
    <xf numFmtId="0" fontId="46" fillId="0" borderId="14" xfId="0" applyFont="1" applyBorder="1" applyAlignment="1">
      <alignment horizontal="center" vertical="center"/>
    </xf>
    <xf numFmtId="0" fontId="46" fillId="0" borderId="49" xfId="0" applyFont="1" applyBorder="1" applyAlignment="1">
      <alignment horizontal="center" vertical="center"/>
    </xf>
    <xf numFmtId="2" fontId="210" fillId="0" borderId="65" xfId="0" applyNumberFormat="1" applyFont="1" applyBorder="1" applyAlignment="1">
      <alignment horizontal="center" vertical="center"/>
    </xf>
    <xf numFmtId="2" fontId="0" fillId="0" borderId="36" xfId="0" applyNumberFormat="1" applyBorder="1" applyAlignment="1">
      <alignment horizontal="center" vertical="center"/>
    </xf>
    <xf numFmtId="0" fontId="46" fillId="0" borderId="15" xfId="0" applyFont="1" applyBorder="1" applyAlignment="1">
      <alignment horizontal="center" vertical="center"/>
    </xf>
    <xf numFmtId="0" fontId="0" fillId="0" borderId="21" xfId="0" applyBorder="1" applyAlignment="1"/>
    <xf numFmtId="0" fontId="206" fillId="0" borderId="80" xfId="0" applyFont="1" applyBorder="1" applyAlignment="1">
      <alignment horizontal="center"/>
    </xf>
    <xf numFmtId="0" fontId="68" fillId="0" borderId="65" xfId="0" applyFont="1" applyBorder="1" applyAlignment="1">
      <alignment horizontal="center"/>
    </xf>
    <xf numFmtId="0" fontId="207" fillId="0" borderId="75" xfId="0" applyFont="1" applyBorder="1" applyAlignment="1">
      <alignment horizontal="center"/>
    </xf>
    <xf numFmtId="0" fontId="46" fillId="0" borderId="79" xfId="0" applyFont="1" applyBorder="1" applyAlignment="1">
      <alignment horizontal="center" vertical="center"/>
    </xf>
    <xf numFmtId="0" fontId="210" fillId="0" borderId="65" xfId="0" applyFont="1" applyBorder="1" applyAlignment="1">
      <alignment horizontal="center" vertical="center"/>
    </xf>
    <xf numFmtId="0" fontId="210" fillId="0" borderId="36" xfId="0" applyFont="1" applyBorder="1" applyAlignment="1">
      <alignment horizontal="center" vertical="center"/>
    </xf>
    <xf numFmtId="0" fontId="0" fillId="0" borderId="36"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210" fillId="0" borderId="25" xfId="0" applyFont="1" applyBorder="1" applyAlignment="1">
      <alignment horizontal="center" vertical="center"/>
    </xf>
    <xf numFmtId="0" fontId="210" fillId="0" borderId="1" xfId="0" applyFont="1" applyBorder="1" applyAlignment="1">
      <alignment horizontal="center" vertical="center"/>
    </xf>
    <xf numFmtId="0" fontId="67" fillId="0" borderId="0" xfId="0" applyFont="1" applyBorder="1" applyAlignment="1">
      <alignment horizontal="left" vertical="center"/>
    </xf>
    <xf numFmtId="0" fontId="46" fillId="0" borderId="80" xfId="0" applyFont="1" applyBorder="1" applyAlignment="1">
      <alignment horizontal="center" vertical="center"/>
    </xf>
    <xf numFmtId="0" fontId="0" fillId="0" borderId="78" xfId="0" applyBorder="1" applyAlignment="1">
      <alignment vertical="center"/>
    </xf>
    <xf numFmtId="0" fontId="206" fillId="0" borderId="14" xfId="0" applyFont="1" applyBorder="1" applyAlignment="1">
      <alignment horizontal="center"/>
    </xf>
    <xf numFmtId="0" fontId="68" fillId="0" borderId="25" xfId="0" applyFont="1" applyBorder="1" applyAlignment="1">
      <alignment horizontal="center"/>
    </xf>
    <xf numFmtId="0" fontId="207" fillId="0" borderId="28" xfId="0" applyFont="1" applyBorder="1" applyAlignment="1">
      <alignment horizontal="center"/>
    </xf>
    <xf numFmtId="0" fontId="210" fillId="0" borderId="16" xfId="0" applyFont="1" applyBorder="1" applyAlignment="1">
      <alignment horizontal="center" vertical="center"/>
    </xf>
    <xf numFmtId="2" fontId="210" fillId="0" borderId="16" xfId="0" applyNumberFormat="1" applyFont="1" applyFill="1" applyBorder="1" applyAlignment="1">
      <alignment horizontal="center" vertical="center"/>
    </xf>
    <xf numFmtId="2" fontId="0" fillId="0" borderId="77" xfId="0" applyNumberFormat="1" applyBorder="1" applyAlignment="1">
      <alignment horizontal="center" vertical="center"/>
    </xf>
    <xf numFmtId="0" fontId="0" fillId="0" borderId="42" xfId="0" applyBorder="1" applyAlignment="1">
      <alignment horizontal="center"/>
    </xf>
    <xf numFmtId="0" fontId="0" fillId="0" borderId="19" xfId="0" applyBorder="1" applyAlignment="1">
      <alignment horizontal="center"/>
    </xf>
    <xf numFmtId="0" fontId="58" fillId="0" borderId="8" xfId="0" applyFont="1" applyFill="1" applyBorder="1" applyAlignment="1">
      <alignment horizontal="center" vertical="center"/>
    </xf>
    <xf numFmtId="0" fontId="0" fillId="0" borderId="18" xfId="0" applyBorder="1" applyAlignment="1">
      <alignment horizontal="center" vertical="center"/>
    </xf>
    <xf numFmtId="0" fontId="219" fillId="0" borderId="72" xfId="0" applyFont="1" applyBorder="1" applyAlignment="1" applyProtection="1">
      <alignment vertical="center"/>
      <protection locked="0"/>
    </xf>
    <xf numFmtId="0" fontId="0" fillId="0" borderId="73" xfId="0" applyBorder="1" applyAlignment="1" applyProtection="1">
      <alignment vertical="center"/>
      <protection locked="0"/>
    </xf>
    <xf numFmtId="0" fontId="0" fillId="0" borderId="73" xfId="0" applyBorder="1" applyAlignment="1" applyProtection="1">
      <protection locked="0"/>
    </xf>
    <xf numFmtId="0" fontId="0" fillId="0" borderId="22" xfId="0" applyBorder="1" applyAlignment="1" applyProtection="1">
      <protection locked="0"/>
    </xf>
    <xf numFmtId="0" fontId="241" fillId="6" borderId="55" xfId="1" applyFont="1" applyFill="1" applyBorder="1" applyAlignment="1" applyProtection="1">
      <alignment horizontal="center"/>
      <protection locked="0"/>
    </xf>
    <xf numFmtId="0" fontId="241" fillId="6" borderId="43" xfId="1" applyFont="1" applyFill="1" applyBorder="1" applyAlignment="1" applyProtection="1">
      <alignment horizontal="center"/>
      <protection locked="0"/>
    </xf>
    <xf numFmtId="0" fontId="206" fillId="0" borderId="8" xfId="0" applyFont="1" applyBorder="1" applyAlignment="1">
      <alignment horizontal="center"/>
    </xf>
    <xf numFmtId="0" fontId="46" fillId="0" borderId="16" xfId="0" applyFont="1" applyBorder="1" applyAlignment="1">
      <alignment horizontal="center" vertical="center"/>
    </xf>
    <xf numFmtId="0" fontId="46" fillId="0" borderId="36" xfId="0" applyFont="1" applyBorder="1" applyAlignment="1">
      <alignment horizontal="center" vertical="center"/>
    </xf>
    <xf numFmtId="0" fontId="67" fillId="0" borderId="20" xfId="0" applyFont="1" applyBorder="1" applyAlignment="1">
      <alignment horizontal="left" vertical="center"/>
    </xf>
    <xf numFmtId="0" fontId="4" fillId="0" borderId="0" xfId="0" applyFont="1" applyBorder="1" applyAlignment="1">
      <alignment horizontal="left" vertical="center"/>
    </xf>
    <xf numFmtId="0" fontId="67" fillId="0" borderId="3" xfId="0" applyFont="1" applyBorder="1" applyAlignment="1">
      <alignment horizontal="left" vertical="center"/>
    </xf>
    <xf numFmtId="0" fontId="213" fillId="0" borderId="0" xfId="0" applyFont="1" applyBorder="1" applyAlignment="1">
      <alignment horizontal="center" vertical="center"/>
    </xf>
    <xf numFmtId="0" fontId="76" fillId="0" borderId="0" xfId="0" applyFont="1" applyBorder="1" applyAlignment="1">
      <alignment horizontal="center" vertical="center"/>
    </xf>
    <xf numFmtId="0" fontId="213" fillId="0" borderId="0" xfId="0" applyFont="1" applyBorder="1" applyAlignment="1">
      <alignment horizontal="center"/>
    </xf>
    <xf numFmtId="0" fontId="98" fillId="0" borderId="0" xfId="0" applyFont="1" applyBorder="1" applyAlignment="1">
      <alignment horizontal="center" vertical="center"/>
    </xf>
    <xf numFmtId="0" fontId="0" fillId="0" borderId="81" xfId="0" applyBorder="1" applyAlignment="1">
      <alignment horizontal="center" vertical="center"/>
    </xf>
    <xf numFmtId="0" fontId="0" fillId="0" borderId="78" xfId="0" applyBorder="1" applyAlignment="1">
      <alignment horizontal="center" vertical="center"/>
    </xf>
    <xf numFmtId="0" fontId="9" fillId="0" borderId="16" xfId="0" applyFont="1" applyBorder="1" applyAlignment="1">
      <alignment horizontal="center" vertical="center"/>
    </xf>
    <xf numFmtId="0" fontId="9" fillId="0" borderId="36" xfId="0" applyFont="1" applyBorder="1" applyAlignment="1">
      <alignment horizontal="center" vertical="center"/>
    </xf>
    <xf numFmtId="0" fontId="9" fillId="0" borderId="77" xfId="0" applyFon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center" vertical="center"/>
    </xf>
    <xf numFmtId="0" fontId="210" fillId="0" borderId="2" xfId="0" applyFont="1" applyBorder="1" applyAlignment="1">
      <alignment horizontal="center" vertical="center"/>
    </xf>
    <xf numFmtId="0" fontId="223" fillId="0" borderId="72" xfId="0" applyFont="1" applyBorder="1" applyAlignment="1" applyProtection="1">
      <alignment vertical="center"/>
      <protection locked="0"/>
    </xf>
    <xf numFmtId="0" fontId="223" fillId="0" borderId="73" xfId="0" applyFont="1" applyBorder="1" applyAlignment="1" applyProtection="1">
      <alignment vertical="center"/>
      <protection locked="0"/>
    </xf>
    <xf numFmtId="0" fontId="223" fillId="0" borderId="22" xfId="0" applyFont="1" applyBorder="1" applyAlignment="1" applyProtection="1">
      <alignment vertical="center"/>
      <protection locked="0"/>
    </xf>
    <xf numFmtId="0" fontId="46" fillId="0" borderId="40" xfId="0" applyFont="1" applyBorder="1" applyAlignment="1">
      <alignment horizontal="center" vertical="center"/>
    </xf>
    <xf numFmtId="0" fontId="46" fillId="0" borderId="20" xfId="0" applyFont="1" applyBorder="1" applyAlignment="1">
      <alignment horizontal="center" vertical="center"/>
    </xf>
    <xf numFmtId="0" fontId="46" fillId="0" borderId="2" xfId="0" applyFont="1" applyBorder="1" applyAlignment="1">
      <alignment horizontal="center" vertical="center"/>
    </xf>
    <xf numFmtId="0" fontId="10" fillId="0" borderId="8" xfId="0" applyFont="1" applyBorder="1" applyAlignment="1">
      <alignment horizontal="center"/>
    </xf>
    <xf numFmtId="0" fontId="11" fillId="0" borderId="72" xfId="0" applyFont="1" applyBorder="1" applyAlignment="1">
      <alignment horizontal="center"/>
    </xf>
    <xf numFmtId="0" fontId="6" fillId="0" borderId="73" xfId="0" applyFont="1" applyBorder="1" applyAlignment="1">
      <alignment horizontal="center"/>
    </xf>
    <xf numFmtId="0" fontId="0" fillId="0" borderId="73" xfId="0" applyBorder="1" applyAlignment="1"/>
    <xf numFmtId="0" fontId="0" fillId="0" borderId="31" xfId="0" applyBorder="1" applyAlignment="1"/>
    <xf numFmtId="0" fontId="0" fillId="0" borderId="47" xfId="0" applyBorder="1" applyAlignment="1"/>
    <xf numFmtId="0" fontId="241" fillId="6" borderId="20" xfId="1" applyFont="1" applyFill="1" applyBorder="1" applyAlignment="1" applyProtection="1">
      <alignment horizontal="center"/>
      <protection locked="0"/>
    </xf>
    <xf numFmtId="0" fontId="241" fillId="0" borderId="0" xfId="1" applyFont="1" applyBorder="1" applyAlignment="1" applyProtection="1">
      <alignment horizontal="center"/>
      <protection locked="0"/>
    </xf>
    <xf numFmtId="0" fontId="241" fillId="0" borderId="0" xfId="1" applyFont="1" applyAlignment="1" applyProtection="1">
      <alignment horizontal="center"/>
    </xf>
    <xf numFmtId="0" fontId="46" fillId="0" borderId="1" xfId="0" applyFont="1" applyBorder="1" applyAlignment="1">
      <alignment horizontal="center" vertical="center"/>
    </xf>
    <xf numFmtId="0" fontId="218" fillId="0" borderId="0" xfId="0" applyFont="1" applyAlignment="1">
      <alignment horizontal="left"/>
    </xf>
    <xf numFmtId="0" fontId="98" fillId="0" borderId="40" xfId="0" applyFont="1" applyBorder="1" applyAlignment="1">
      <alignment horizontal="center"/>
    </xf>
    <xf numFmtId="0" fontId="98" fillId="0" borderId="42" xfId="0" applyFont="1" applyBorder="1" applyAlignment="1">
      <alignment horizontal="center"/>
    </xf>
    <xf numFmtId="0" fontId="98" fillId="0" borderId="19" xfId="0" applyFont="1" applyBorder="1" applyAlignment="1">
      <alignment horizontal="center"/>
    </xf>
    <xf numFmtId="0" fontId="98" fillId="0" borderId="18" xfId="0" applyFont="1" applyBorder="1" applyAlignment="1">
      <alignment horizontal="center"/>
    </xf>
    <xf numFmtId="0" fontId="98" fillId="0" borderId="13" xfId="0" applyFont="1" applyBorder="1" applyAlignment="1">
      <alignment horizontal="center"/>
    </xf>
    <xf numFmtId="0" fontId="68" fillId="0" borderId="18" xfId="0" applyFont="1" applyBorder="1" applyAlignment="1">
      <alignment horizontal="center"/>
    </xf>
    <xf numFmtId="0" fontId="207" fillId="0" borderId="13" xfId="0" applyFont="1" applyBorder="1" applyAlignment="1">
      <alignment horizontal="center"/>
    </xf>
    <xf numFmtId="2" fontId="210" fillId="0" borderId="36" xfId="0" applyNumberFormat="1" applyFont="1" applyBorder="1" applyAlignment="1">
      <alignment horizontal="center" vertical="center"/>
    </xf>
    <xf numFmtId="2" fontId="0" fillId="0" borderId="2" xfId="0" applyNumberFormat="1" applyBorder="1" applyAlignment="1">
      <alignment horizontal="center" vertical="center"/>
    </xf>
    <xf numFmtId="0" fontId="46" fillId="0" borderId="16" xfId="0" applyFont="1" applyFill="1" applyBorder="1" applyAlignment="1">
      <alignment horizontal="center" vertical="center"/>
    </xf>
    <xf numFmtId="0" fontId="46" fillId="0" borderId="8" xfId="0" applyFont="1" applyBorder="1" applyAlignment="1">
      <alignment horizontal="center"/>
    </xf>
    <xf numFmtId="0" fontId="206" fillId="0" borderId="8" xfId="0" applyFont="1" applyBorder="1" applyAlignment="1">
      <alignment horizontal="center" vertical="center"/>
    </xf>
    <xf numFmtId="0" fontId="68" fillId="0" borderId="18" xfId="0" applyFont="1" applyBorder="1" applyAlignment="1">
      <alignment horizontal="center" vertical="center"/>
    </xf>
    <xf numFmtId="0" fontId="207" fillId="0" borderId="13" xfId="0" applyFont="1" applyBorder="1" applyAlignment="1">
      <alignment horizontal="center" vertical="center"/>
    </xf>
    <xf numFmtId="0" fontId="10" fillId="0" borderId="18" xfId="0" applyFont="1" applyBorder="1" applyAlignment="1">
      <alignment horizontal="center"/>
    </xf>
    <xf numFmtId="0" fontId="10" fillId="0" borderId="13" xfId="0" applyFont="1" applyBorder="1" applyAlignment="1">
      <alignment horizontal="center"/>
    </xf>
    <xf numFmtId="0" fontId="98" fillId="0" borderId="7" xfId="0" applyFont="1" applyFill="1" applyBorder="1" applyAlignment="1">
      <alignment horizontal="center"/>
    </xf>
    <xf numFmtId="0" fontId="98" fillId="0" borderId="55" xfId="0" applyFont="1" applyFill="1" applyBorder="1" applyAlignment="1">
      <alignment horizontal="center"/>
    </xf>
    <xf numFmtId="0" fontId="98" fillId="0" borderId="43" xfId="0" applyFont="1" applyFill="1" applyBorder="1" applyAlignment="1">
      <alignment horizontal="center"/>
    </xf>
    <xf numFmtId="0" fontId="243" fillId="0" borderId="1" xfId="0" applyFont="1" applyBorder="1" applyAlignment="1" applyProtection="1">
      <alignment horizontal="center"/>
    </xf>
    <xf numFmtId="0" fontId="251" fillId="0" borderId="0" xfId="0" applyFont="1" applyAlignment="1" applyProtection="1"/>
    <xf numFmtId="0" fontId="266" fillId="0" borderId="0" xfId="0" applyFont="1" applyAlignment="1"/>
    <xf numFmtId="0" fontId="10" fillId="0" borderId="0" xfId="0" applyFont="1" applyAlignment="1" applyProtection="1">
      <alignment horizontal="right"/>
    </xf>
    <xf numFmtId="0" fontId="4" fillId="0" borderId="0" xfId="0" applyFont="1" applyAlignment="1">
      <alignment horizontal="right"/>
    </xf>
    <xf numFmtId="0" fontId="68" fillId="5" borderId="8" xfId="0" applyFont="1" applyFill="1" applyBorder="1" applyAlignment="1"/>
    <xf numFmtId="0" fontId="242" fillId="17" borderId="0" xfId="1" applyFont="1" applyFill="1" applyAlignment="1" applyProtection="1">
      <alignment horizontal="center"/>
    </xf>
    <xf numFmtId="0" fontId="15" fillId="0" borderId="0" xfId="0" applyFont="1" applyAlignment="1" applyProtection="1">
      <alignment horizontal="right"/>
    </xf>
    <xf numFmtId="0" fontId="0" fillId="0" borderId="70" xfId="0" applyBorder="1" applyAlignment="1"/>
    <xf numFmtId="0" fontId="0" fillId="0" borderId="70" xfId="0" applyBorder="1" applyAlignment="1">
      <alignment horizontal="right"/>
    </xf>
    <xf numFmtId="0" fontId="10" fillId="0" borderId="72" xfId="0" applyFont="1" applyBorder="1" applyAlignment="1">
      <alignment horizontal="center"/>
    </xf>
    <xf numFmtId="0" fontId="10" fillId="0" borderId="73" xfId="0" applyFont="1" applyBorder="1" applyAlignment="1">
      <alignment horizontal="center"/>
    </xf>
    <xf numFmtId="0" fontId="10" fillId="0" borderId="22" xfId="0" applyFont="1" applyBorder="1" applyAlignment="1">
      <alignment horizontal="center"/>
    </xf>
    <xf numFmtId="0" fontId="227" fillId="0" borderId="8" xfId="0" applyFont="1" applyBorder="1" applyAlignment="1" applyProtection="1">
      <alignment horizontal="center" vertical="center"/>
      <protection locked="0"/>
    </xf>
    <xf numFmtId="0" fontId="0" fillId="0" borderId="13" xfId="0" applyBorder="1" applyAlignment="1">
      <alignment horizontal="center" vertical="center"/>
    </xf>
    <xf numFmtId="0" fontId="38" fillId="6" borderId="55" xfId="1" applyFill="1" applyBorder="1" applyAlignment="1" applyProtection="1">
      <alignment horizontal="center"/>
      <protection locked="0"/>
    </xf>
    <xf numFmtId="0" fontId="38" fillId="6" borderId="43" xfId="1" applyFill="1" applyBorder="1" applyAlignment="1" applyProtection="1">
      <alignment horizontal="center"/>
      <protection locked="0"/>
    </xf>
    <xf numFmtId="0" fontId="7" fillId="0" borderId="44" xfId="0" applyFont="1" applyBorder="1" applyAlignment="1">
      <alignment horizontal="center"/>
    </xf>
    <xf numFmtId="0" fontId="0" fillId="0" borderId="23" xfId="0" applyBorder="1" applyAlignment="1">
      <alignment horizontal="center"/>
    </xf>
    <xf numFmtId="0" fontId="0" fillId="0" borderId="1" xfId="0" applyBorder="1" applyAlignment="1">
      <alignment horizontal="center" vertical="center"/>
    </xf>
    <xf numFmtId="0" fontId="9" fillId="0" borderId="1" xfId="0" applyFont="1" applyBorder="1" applyAlignment="1">
      <alignment horizontal="center" vertical="center"/>
    </xf>
    <xf numFmtId="0" fontId="38" fillId="6" borderId="7" xfId="1" applyFill="1" applyBorder="1" applyAlignment="1" applyProtection="1">
      <alignment horizontal="center"/>
      <protection locked="0"/>
    </xf>
    <xf numFmtId="0" fontId="38" fillId="0" borderId="55" xfId="1" applyBorder="1" applyAlignment="1" applyProtection="1">
      <alignment horizontal="center"/>
      <protection locked="0"/>
    </xf>
    <xf numFmtId="0" fontId="38" fillId="0" borderId="43" xfId="1" applyBorder="1" applyAlignment="1" applyProtection="1">
      <alignment horizontal="center"/>
      <protection locked="0"/>
    </xf>
    <xf numFmtId="0" fontId="0" fillId="0" borderId="3" xfId="0" applyBorder="1" applyAlignment="1" applyProtection="1">
      <alignment vertical="center"/>
      <protection locked="0"/>
    </xf>
    <xf numFmtId="0" fontId="0" fillId="0" borderId="0" xfId="0" applyAlignment="1" applyProtection="1">
      <alignment vertical="center"/>
      <protection locked="0"/>
    </xf>
    <xf numFmtId="0" fontId="0" fillId="0" borderId="37" xfId="0" applyBorder="1" applyAlignment="1" applyProtection="1">
      <alignment vertical="center"/>
      <protection locked="0"/>
    </xf>
    <xf numFmtId="0" fontId="10" fillId="0" borderId="67" xfId="0" applyFont="1" applyBorder="1" applyAlignment="1">
      <alignment horizontal="center" textRotation="90"/>
    </xf>
    <xf numFmtId="0" fontId="10" fillId="0" borderId="41" xfId="0" applyFont="1" applyBorder="1" applyAlignment="1">
      <alignment horizontal="center" textRotation="90"/>
    </xf>
    <xf numFmtId="0" fontId="10" fillId="0" borderId="57" xfId="0" applyFont="1" applyBorder="1" applyAlignment="1">
      <alignment horizontal="center" textRotation="90"/>
    </xf>
    <xf numFmtId="0" fontId="7" fillId="0" borderId="72" xfId="0" applyFont="1" applyBorder="1" applyAlignment="1">
      <alignment horizontal="center"/>
    </xf>
    <xf numFmtId="0" fontId="7" fillId="0" borderId="73" xfId="0" applyFont="1" applyBorder="1" applyAlignment="1">
      <alignment horizontal="center"/>
    </xf>
    <xf numFmtId="0" fontId="7" fillId="0" borderId="22" xfId="0" applyFont="1" applyBorder="1" applyAlignment="1">
      <alignment horizontal="center"/>
    </xf>
    <xf numFmtId="0" fontId="103" fillId="17" borderId="3" xfId="0" applyFont="1" applyFill="1" applyBorder="1" applyAlignment="1">
      <alignment horizontal="center"/>
    </xf>
    <xf numFmtId="0" fontId="0" fillId="0" borderId="70" xfId="0" applyBorder="1" applyAlignment="1">
      <alignment horizontal="center"/>
    </xf>
    <xf numFmtId="0" fontId="11" fillId="12" borderId="3" xfId="0" applyFont="1" applyFill="1" applyBorder="1" applyAlignment="1">
      <alignment horizontal="center"/>
    </xf>
    <xf numFmtId="0" fontId="4" fillId="0" borderId="67"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6" fillId="0" borderId="67" xfId="0" applyFont="1" applyBorder="1" applyAlignment="1">
      <alignment horizontal="center" vertical="center"/>
    </xf>
    <xf numFmtId="0" fontId="6" fillId="0" borderId="41" xfId="0" applyFont="1" applyBorder="1" applyAlignment="1">
      <alignment horizontal="center" vertical="center"/>
    </xf>
    <xf numFmtId="0" fontId="6" fillId="0" borderId="57" xfId="0" applyFont="1" applyBorder="1" applyAlignment="1">
      <alignment horizontal="center" vertical="center"/>
    </xf>
    <xf numFmtId="0" fontId="0" fillId="0" borderId="0" xfId="0" applyBorder="1" applyAlignment="1">
      <alignment horizontal="center"/>
    </xf>
    <xf numFmtId="0" fontId="38" fillId="6" borderId="72" xfId="1" applyFill="1" applyBorder="1" applyAlignment="1" applyProtection="1">
      <alignment horizontal="center"/>
    </xf>
    <xf numFmtId="0" fontId="38" fillId="0" borderId="73" xfId="1" applyBorder="1" applyAlignment="1" applyProtection="1">
      <alignment horizontal="center"/>
    </xf>
    <xf numFmtId="0" fontId="38" fillId="0" borderId="22" xfId="1" applyBorder="1" applyAlignment="1" applyProtection="1">
      <alignment horizontal="center"/>
    </xf>
    <xf numFmtId="0" fontId="13" fillId="7" borderId="3" xfId="0" applyFont="1" applyFill="1" applyBorder="1" applyAlignment="1">
      <alignment horizontal="center" vertical="center"/>
    </xf>
    <xf numFmtId="0" fontId="13" fillId="7" borderId="0" xfId="0" applyFont="1" applyFill="1" applyBorder="1" applyAlignment="1">
      <alignment horizontal="center" vertical="center"/>
    </xf>
    <xf numFmtId="0" fontId="3" fillId="0" borderId="0" xfId="0" applyFont="1" applyAlignment="1"/>
    <xf numFmtId="9" fontId="3" fillId="4" borderId="67" xfId="0" applyNumberFormat="1" applyFont="1" applyFill="1" applyBorder="1" applyAlignment="1">
      <alignment horizontal="center" vertical="center"/>
    </xf>
    <xf numFmtId="9" fontId="3" fillId="4" borderId="57" xfId="0" applyNumberFormat="1" applyFont="1" applyFill="1" applyBorder="1" applyAlignment="1">
      <alignment horizontal="center" vertical="center"/>
    </xf>
    <xf numFmtId="0" fontId="38" fillId="12" borderId="72" xfId="1" applyFill="1" applyBorder="1" applyAlignment="1" applyProtection="1">
      <alignment horizontal="center"/>
    </xf>
    <xf numFmtId="0" fontId="38" fillId="12" borderId="73" xfId="1" applyFill="1" applyBorder="1" applyAlignment="1" applyProtection="1">
      <alignment horizontal="center"/>
    </xf>
    <xf numFmtId="0" fontId="38" fillId="12" borderId="22" xfId="1" applyFill="1" applyBorder="1" applyAlignment="1" applyProtection="1">
      <alignment horizontal="center"/>
    </xf>
    <xf numFmtId="0" fontId="38" fillId="25" borderId="1" xfId="1" applyFill="1" applyBorder="1" applyAlignment="1" applyProtection="1">
      <alignment horizontal="center"/>
    </xf>
    <xf numFmtId="0" fontId="38" fillId="0" borderId="1" xfId="1" applyBorder="1" applyAlignment="1" applyProtection="1"/>
    <xf numFmtId="0" fontId="38" fillId="25" borderId="1" xfId="1" applyFont="1" applyFill="1" applyBorder="1" applyAlignment="1" applyProtection="1">
      <alignment horizontal="center"/>
    </xf>
    <xf numFmtId="0" fontId="0" fillId="0" borderId="1" xfId="0" applyBorder="1" applyAlignment="1"/>
    <xf numFmtId="0" fontId="147" fillId="25" borderId="1" xfId="1" applyFont="1" applyFill="1" applyBorder="1" applyAlignment="1" applyProtection="1">
      <alignment horizontal="center"/>
    </xf>
    <xf numFmtId="0" fontId="147" fillId="0" borderId="1" xfId="1" applyFont="1" applyBorder="1" applyAlignment="1" applyProtection="1"/>
    <xf numFmtId="0" fontId="147" fillId="25" borderId="8" xfId="1" applyFont="1" applyFill="1" applyBorder="1" applyAlignment="1" applyProtection="1">
      <alignment horizontal="center"/>
    </xf>
    <xf numFmtId="0" fontId="148" fillId="0" borderId="18" xfId="0" applyFont="1" applyBorder="1" applyAlignment="1"/>
    <xf numFmtId="0" fontId="148" fillId="0" borderId="13" xfId="0" applyFont="1" applyBorder="1" applyAlignment="1"/>
    <xf numFmtId="0" fontId="43" fillId="7" borderId="20" xfId="0" applyFont="1" applyFill="1" applyBorder="1" applyAlignment="1">
      <alignment horizontal="center"/>
    </xf>
    <xf numFmtId="0" fontId="44" fillId="7" borderId="0" xfId="0" applyFont="1" applyFill="1" applyBorder="1" applyAlignment="1">
      <alignment horizontal="center"/>
    </xf>
    <xf numFmtId="0" fontId="45" fillId="0" borderId="0" xfId="0" applyFont="1" applyAlignment="1"/>
    <xf numFmtId="0" fontId="38" fillId="6" borderId="0" xfId="1" applyFill="1" applyBorder="1" applyAlignment="1" applyProtection="1">
      <alignment horizontal="center"/>
    </xf>
    <xf numFmtId="0" fontId="38" fillId="25" borderId="72" xfId="1" applyFont="1" applyFill="1" applyBorder="1" applyAlignment="1" applyProtection="1">
      <alignment horizontal="center"/>
    </xf>
    <xf numFmtId="0" fontId="0" fillId="0" borderId="22" xfId="0" applyBorder="1" applyAlignment="1">
      <alignment horizontal="center"/>
    </xf>
    <xf numFmtId="0" fontId="38" fillId="25" borderId="72" xfId="1" applyFill="1" applyBorder="1" applyAlignment="1" applyProtection="1">
      <alignment horizontal="center"/>
    </xf>
    <xf numFmtId="0" fontId="24" fillId="16" borderId="8" xfId="0" applyFont="1" applyFill="1" applyBorder="1" applyAlignment="1">
      <alignment horizontal="center"/>
    </xf>
    <xf numFmtId="0" fontId="24" fillId="16" borderId="13" xfId="0" applyFont="1" applyFill="1" applyBorder="1" applyAlignment="1">
      <alignment horizontal="center"/>
    </xf>
    <xf numFmtId="0" fontId="45" fillId="0" borderId="0" xfId="0" applyFont="1" applyAlignment="1">
      <alignment horizontal="center"/>
    </xf>
    <xf numFmtId="0" fontId="38" fillId="6" borderId="32" xfId="1" applyFill="1" applyBorder="1" applyAlignment="1" applyProtection="1">
      <alignment horizontal="center"/>
    </xf>
    <xf numFmtId="0" fontId="0" fillId="0" borderId="32" xfId="0" applyBorder="1" applyAlignment="1">
      <alignment horizontal="center"/>
    </xf>
    <xf numFmtId="0" fontId="176" fillId="0" borderId="67" xfId="0" applyFont="1" applyBorder="1" applyAlignment="1">
      <alignment horizontal="center" vertical="center"/>
    </xf>
    <xf numFmtId="0" fontId="176" fillId="0" borderId="41" xfId="0" applyFont="1" applyBorder="1" applyAlignment="1">
      <alignment horizontal="center" vertical="center"/>
    </xf>
    <xf numFmtId="0" fontId="176" fillId="0" borderId="57" xfId="0" applyFont="1" applyBorder="1" applyAlignment="1">
      <alignment horizontal="center" vertical="center"/>
    </xf>
    <xf numFmtId="0" fontId="0" fillId="0" borderId="67" xfId="0" applyBorder="1" applyAlignment="1">
      <alignment horizontal="center" vertical="center"/>
    </xf>
    <xf numFmtId="0" fontId="0" fillId="0" borderId="57" xfId="0" applyBorder="1" applyAlignment="1">
      <alignment horizontal="center" vertical="center"/>
    </xf>
    <xf numFmtId="184" fontId="3" fillId="4" borderId="11" xfId="0" applyNumberFormat="1" applyFont="1" applyFill="1" applyBorder="1" applyAlignment="1">
      <alignment horizontal="center" vertical="center"/>
    </xf>
    <xf numFmtId="184" fontId="3" fillId="4" borderId="34" xfId="0" applyNumberFormat="1" applyFont="1" applyFill="1" applyBorder="1" applyAlignment="1">
      <alignment horizontal="center" vertical="center"/>
    </xf>
    <xf numFmtId="184" fontId="3" fillId="4" borderId="12" xfId="0" applyNumberFormat="1" applyFont="1" applyFill="1" applyBorder="1" applyAlignment="1">
      <alignment horizontal="center" vertical="center"/>
    </xf>
    <xf numFmtId="0" fontId="0" fillId="0" borderId="22" xfId="0" applyBorder="1" applyAlignment="1"/>
    <xf numFmtId="0" fontId="43" fillId="7" borderId="7" xfId="0" applyFont="1" applyFill="1" applyBorder="1" applyAlignment="1">
      <alignment horizontal="center"/>
    </xf>
    <xf numFmtId="0" fontId="45" fillId="0" borderId="55" xfId="0" applyFont="1" applyBorder="1" applyAlignment="1"/>
    <xf numFmtId="0" fontId="0" fillId="0" borderId="55" xfId="0" applyBorder="1" applyAlignment="1"/>
    <xf numFmtId="0" fontId="74" fillId="0" borderId="1" xfId="0" applyFont="1" applyBorder="1" applyAlignment="1">
      <alignment horizontal="center"/>
    </xf>
    <xf numFmtId="0" fontId="0" fillId="0" borderId="1" xfId="0" applyBorder="1" applyAlignment="1">
      <alignment horizontal="center"/>
    </xf>
    <xf numFmtId="0" fontId="74" fillId="0" borderId="8" xfId="0" applyFont="1" applyBorder="1" applyAlignment="1">
      <alignment horizontal="center"/>
    </xf>
    <xf numFmtId="0" fontId="11" fillId="12" borderId="8" xfId="0" applyFont="1" applyFill="1" applyBorder="1" applyAlignment="1">
      <alignment horizontal="center"/>
    </xf>
    <xf numFmtId="0" fontId="11" fillId="12" borderId="18" xfId="0" applyFont="1" applyFill="1" applyBorder="1" applyAlignment="1">
      <alignment horizontal="center"/>
    </xf>
    <xf numFmtId="0" fontId="11" fillId="12" borderId="13" xfId="0" applyFont="1" applyFill="1" applyBorder="1" applyAlignment="1">
      <alignment horizontal="center"/>
    </xf>
    <xf numFmtId="0" fontId="38" fillId="6" borderId="1" xfId="1" applyFill="1" applyBorder="1" applyAlignment="1" applyProtection="1">
      <alignment horizontal="center"/>
    </xf>
    <xf numFmtId="0" fontId="38" fillId="0" borderId="1" xfId="1" applyBorder="1" applyAlignment="1" applyProtection="1">
      <alignment horizontal="center"/>
    </xf>
    <xf numFmtId="0" fontId="0" fillId="12" borderId="18" xfId="0" applyFill="1" applyBorder="1" applyAlignment="1">
      <alignment horizontal="center"/>
    </xf>
    <xf numFmtId="0" fontId="0" fillId="12" borderId="13" xfId="0" applyFill="1" applyBorder="1" applyAlignment="1">
      <alignment horizontal="center"/>
    </xf>
    <xf numFmtId="0" fontId="19" fillId="0" borderId="8" xfId="0" applyFont="1" applyFill="1" applyBorder="1" applyAlignment="1">
      <alignment horizontal="center"/>
    </xf>
    <xf numFmtId="0" fontId="19" fillId="17" borderId="49" xfId="0" applyFont="1" applyFill="1" applyBorder="1" applyAlignment="1">
      <alignment horizontal="center"/>
    </xf>
    <xf numFmtId="0" fontId="19" fillId="17" borderId="50" xfId="0" applyFont="1" applyFill="1" applyBorder="1" applyAlignment="1">
      <alignment horizontal="center"/>
    </xf>
    <xf numFmtId="0" fontId="10" fillId="8" borderId="44" xfId="0" applyFont="1" applyFill="1" applyBorder="1" applyAlignment="1" applyProtection="1">
      <alignment horizontal="center"/>
      <protection locked="0"/>
    </xf>
    <xf numFmtId="0" fontId="19" fillId="2" borderId="46" xfId="0" applyFont="1" applyFill="1" applyBorder="1" applyAlignment="1">
      <alignment horizontal="center"/>
    </xf>
    <xf numFmtId="0" fontId="0" fillId="0" borderId="52" xfId="0" applyBorder="1" applyAlignment="1">
      <alignment horizontal="center"/>
    </xf>
    <xf numFmtId="1" fontId="58" fillId="8" borderId="44" xfId="0" applyNumberFormat="1" applyFont="1" applyFill="1" applyBorder="1" applyAlignment="1" applyProtection="1">
      <alignment horizontal="center"/>
      <protection locked="0"/>
    </xf>
    <xf numFmtId="0" fontId="10" fillId="11" borderId="7" xfId="0" applyFont="1" applyFill="1" applyBorder="1" applyAlignment="1">
      <alignment horizontal="center" vertical="center"/>
    </xf>
    <xf numFmtId="0" fontId="10" fillId="11" borderId="43" xfId="0" applyFont="1" applyFill="1" applyBorder="1" applyAlignment="1">
      <alignment horizontal="center" vertical="center"/>
    </xf>
    <xf numFmtId="0" fontId="10" fillId="11" borderId="40" xfId="0" applyFont="1" applyFill="1" applyBorder="1" applyAlignment="1">
      <alignment horizontal="center" vertical="center"/>
    </xf>
    <xf numFmtId="0" fontId="10" fillId="11" borderId="19" xfId="0" applyFont="1" applyFill="1" applyBorder="1" applyAlignment="1">
      <alignment horizontal="center" vertical="center"/>
    </xf>
    <xf numFmtId="0" fontId="19" fillId="11" borderId="7" xfId="0" applyFont="1" applyFill="1" applyBorder="1" applyAlignment="1">
      <alignment horizontal="center"/>
    </xf>
    <xf numFmtId="0" fontId="0" fillId="11" borderId="43" xfId="0" applyFill="1" applyBorder="1" applyAlignment="1">
      <alignment horizontal="center"/>
    </xf>
    <xf numFmtId="0" fontId="10" fillId="0" borderId="40" xfId="0" applyFont="1" applyFill="1" applyBorder="1" applyAlignment="1">
      <alignment horizontal="center"/>
    </xf>
    <xf numFmtId="0" fontId="7" fillId="0" borderId="7" xfId="0" applyFont="1" applyFill="1" applyBorder="1" applyAlignment="1">
      <alignment horizontal="center"/>
    </xf>
    <xf numFmtId="0" fontId="53" fillId="0" borderId="43" xfId="0" applyFont="1" applyBorder="1" applyAlignment="1">
      <alignment horizontal="center"/>
    </xf>
    <xf numFmtId="2" fontId="83" fillId="4" borderId="40" xfId="0" applyNumberFormat="1" applyFont="1" applyFill="1" applyBorder="1" applyAlignment="1">
      <alignment horizontal="center" vertical="center"/>
    </xf>
    <xf numFmtId="2" fontId="83" fillId="4" borderId="19" xfId="0" applyNumberFormat="1" applyFont="1" applyFill="1" applyBorder="1" applyAlignment="1">
      <alignment horizontal="center" vertical="center"/>
    </xf>
    <xf numFmtId="2" fontId="83" fillId="4" borderId="7" xfId="0" applyNumberFormat="1" applyFont="1" applyFill="1" applyBorder="1" applyAlignment="1">
      <alignment horizontal="center" vertical="center"/>
    </xf>
    <xf numFmtId="2" fontId="83" fillId="4" borderId="43" xfId="0" applyNumberFormat="1" applyFont="1" applyFill="1" applyBorder="1" applyAlignment="1">
      <alignment horizontal="center" vertical="center"/>
    </xf>
    <xf numFmtId="0" fontId="20" fillId="12" borderId="73" xfId="0" applyFont="1" applyFill="1" applyBorder="1" applyAlignment="1">
      <alignment horizontal="center" vertical="center"/>
    </xf>
    <xf numFmtId="0" fontId="0" fillId="0" borderId="55" xfId="0" applyBorder="1" applyAlignment="1">
      <alignment horizontal="center"/>
    </xf>
    <xf numFmtId="0" fontId="11" fillId="2" borderId="49" xfId="0" applyFont="1" applyFill="1" applyBorder="1" applyAlignment="1">
      <alignment horizontal="center" vertical="center" textRotation="90"/>
    </xf>
    <xf numFmtId="0" fontId="11" fillId="2" borderId="15" xfId="0" applyFont="1" applyFill="1" applyBorder="1" applyAlignment="1">
      <alignment horizontal="center" vertical="center" textRotation="90"/>
    </xf>
    <xf numFmtId="0" fontId="11" fillId="4" borderId="15" xfId="0" applyFont="1" applyFill="1" applyBorder="1" applyAlignment="1">
      <alignment horizontal="center" vertical="center" textRotation="90"/>
    </xf>
    <xf numFmtId="0" fontId="11" fillId="4" borderId="21" xfId="0" applyFont="1" applyFill="1" applyBorder="1" applyAlignment="1">
      <alignment horizontal="center" vertical="center" textRotation="90"/>
    </xf>
    <xf numFmtId="0" fontId="54" fillId="7" borderId="72" xfId="0" applyFont="1" applyFill="1" applyBorder="1" applyAlignment="1">
      <alignment horizontal="center" vertical="center"/>
    </xf>
    <xf numFmtId="0" fontId="13" fillId="7" borderId="73" xfId="0" applyFont="1" applyFill="1" applyBorder="1" applyAlignment="1">
      <alignment horizontal="center" vertical="center"/>
    </xf>
    <xf numFmtId="0" fontId="13" fillId="7" borderId="22" xfId="0" applyFont="1" applyFill="1" applyBorder="1" applyAlignment="1">
      <alignment horizontal="center" vertical="center"/>
    </xf>
    <xf numFmtId="1" fontId="19" fillId="4" borderId="13" xfId="0" applyNumberFormat="1" applyFont="1" applyFill="1" applyBorder="1" applyAlignment="1">
      <alignment horizontal="center"/>
    </xf>
    <xf numFmtId="1" fontId="19" fillId="4" borderId="1" xfId="0" applyNumberFormat="1" applyFont="1" applyFill="1" applyBorder="1" applyAlignment="1">
      <alignment horizontal="center"/>
    </xf>
    <xf numFmtId="0" fontId="19" fillId="5" borderId="13" xfId="0" applyFont="1" applyFill="1" applyBorder="1" applyAlignment="1">
      <alignment horizontal="center"/>
    </xf>
    <xf numFmtId="0" fontId="19" fillId="5" borderId="1" xfId="0" applyFont="1" applyFill="1" applyBorder="1" applyAlignment="1">
      <alignment horizontal="center"/>
    </xf>
    <xf numFmtId="0" fontId="11" fillId="2" borderId="80" xfId="0" applyFont="1" applyFill="1" applyBorder="1" applyAlignment="1">
      <alignment horizontal="center" vertical="center" textRotation="90"/>
    </xf>
    <xf numFmtId="0" fontId="11" fillId="2" borderId="81" xfId="0" applyFont="1" applyFill="1" applyBorder="1" applyAlignment="1">
      <alignment horizontal="center" vertical="center" textRotation="90"/>
    </xf>
    <xf numFmtId="0" fontId="4" fillId="0" borderId="81" xfId="0" applyFont="1" applyBorder="1"/>
    <xf numFmtId="0" fontId="4" fillId="0" borderId="49" xfId="0" applyFont="1" applyBorder="1"/>
    <xf numFmtId="0" fontId="21" fillId="7" borderId="72" xfId="0" applyFont="1" applyFill="1" applyBorder="1" applyAlignment="1">
      <alignment horizontal="center" vertical="center"/>
    </xf>
    <xf numFmtId="0" fontId="21" fillId="7" borderId="73" xfId="0" applyFont="1" applyFill="1" applyBorder="1" applyAlignment="1">
      <alignment horizontal="center" vertical="center"/>
    </xf>
    <xf numFmtId="0" fontId="21" fillId="7" borderId="31" xfId="0" applyFont="1" applyFill="1" applyBorder="1" applyAlignment="1">
      <alignment horizontal="center" vertical="center"/>
    </xf>
    <xf numFmtId="0" fontId="21" fillId="7" borderId="22" xfId="0" applyFont="1" applyFill="1" applyBorder="1" applyAlignment="1">
      <alignment horizontal="center" vertical="center"/>
    </xf>
    <xf numFmtId="0" fontId="7" fillId="2" borderId="80" xfId="0" applyFont="1" applyFill="1" applyBorder="1" applyAlignment="1">
      <alignment horizontal="center" vertical="center" textRotation="90"/>
    </xf>
    <xf numFmtId="0" fontId="7" fillId="2" borderId="81" xfId="0" applyFont="1" applyFill="1" applyBorder="1" applyAlignment="1">
      <alignment horizontal="center" vertical="center" textRotation="90"/>
    </xf>
    <xf numFmtId="0" fontId="7" fillId="4" borderId="19" xfId="0" applyFont="1" applyFill="1" applyBorder="1" applyAlignment="1">
      <alignment horizontal="center" vertical="center" textRotation="90"/>
    </xf>
    <xf numFmtId="0" fontId="7" fillId="4" borderId="37" xfId="0" applyFont="1" applyFill="1" applyBorder="1" applyAlignment="1">
      <alignment horizontal="center" vertical="center" textRotation="90"/>
    </xf>
    <xf numFmtId="0" fontId="0" fillId="0" borderId="37" xfId="0" applyBorder="1" applyAlignment="1"/>
    <xf numFmtId="0" fontId="7" fillId="2" borderId="49" xfId="0" applyFont="1" applyFill="1" applyBorder="1" applyAlignment="1">
      <alignment horizontal="center" vertical="center" textRotation="90"/>
    </xf>
    <xf numFmtId="0" fontId="7" fillId="2" borderId="15" xfId="0" applyFont="1" applyFill="1" applyBorder="1" applyAlignment="1">
      <alignment horizontal="center" vertical="center" textRotation="90"/>
    </xf>
    <xf numFmtId="0" fontId="10" fillId="4" borderId="19" xfId="0" applyFont="1" applyFill="1" applyBorder="1" applyAlignment="1">
      <alignment horizontal="center" vertical="center" textRotation="90"/>
    </xf>
    <xf numFmtId="0" fontId="10" fillId="4" borderId="37" xfId="0" applyFont="1" applyFill="1" applyBorder="1" applyAlignment="1">
      <alignment horizontal="center" vertical="center" textRotation="90"/>
    </xf>
    <xf numFmtId="164" fontId="3" fillId="4" borderId="40" xfId="0" applyNumberFormat="1" applyFont="1" applyFill="1" applyBorder="1" applyAlignment="1">
      <alignment horizontal="center" vertical="center"/>
    </xf>
    <xf numFmtId="164" fontId="3" fillId="4" borderId="20" xfId="0" applyNumberFormat="1" applyFont="1" applyFill="1" applyBorder="1" applyAlignment="1">
      <alignment horizontal="center" vertical="center"/>
    </xf>
    <xf numFmtId="0" fontId="0" fillId="13" borderId="8" xfId="0" applyFill="1" applyBorder="1" applyAlignment="1">
      <alignment horizontal="center" vertical="center"/>
    </xf>
    <xf numFmtId="0" fontId="0" fillId="13" borderId="18" xfId="0" applyFill="1" applyBorder="1" applyAlignment="1">
      <alignment horizontal="center" vertical="center"/>
    </xf>
    <xf numFmtId="0" fontId="0" fillId="13" borderId="13" xfId="0" applyFill="1" applyBorder="1" applyAlignment="1">
      <alignment horizontal="center" vertical="center"/>
    </xf>
    <xf numFmtId="0" fontId="10" fillId="2" borderId="8" xfId="0" applyFont="1" applyFill="1" applyBorder="1" applyAlignment="1">
      <alignment horizontal="left" vertical="center"/>
    </xf>
    <xf numFmtId="0" fontId="10" fillId="2" borderId="13" xfId="0" applyFont="1" applyFill="1" applyBorder="1" applyAlignment="1">
      <alignment horizontal="left" vertical="center"/>
    </xf>
    <xf numFmtId="0" fontId="19" fillId="2" borderId="8" xfId="0" applyFont="1" applyFill="1" applyBorder="1" applyAlignment="1">
      <alignment horizontal="center"/>
    </xf>
    <xf numFmtId="0" fontId="63" fillId="0" borderId="18" xfId="0" applyFont="1" applyBorder="1" applyAlignment="1">
      <alignment horizontal="center"/>
    </xf>
    <xf numFmtId="0" fontId="63" fillId="0" borderId="13" xfId="0" applyFont="1" applyBorder="1" applyAlignment="1">
      <alignment horizontal="center"/>
    </xf>
    <xf numFmtId="0" fontId="10" fillId="8" borderId="14" xfId="0" applyFont="1" applyFill="1" applyBorder="1" applyAlignment="1" applyProtection="1">
      <alignment horizontal="center"/>
      <protection locked="0"/>
    </xf>
    <xf numFmtId="0" fontId="10" fillId="8" borderId="28" xfId="0" applyFont="1" applyFill="1" applyBorder="1" applyAlignment="1" applyProtection="1">
      <alignment horizontal="center"/>
      <protection locked="0"/>
    </xf>
    <xf numFmtId="0" fontId="10" fillId="8" borderId="21" xfId="0" applyFont="1" applyFill="1" applyBorder="1" applyAlignment="1" applyProtection="1">
      <alignment horizontal="center"/>
      <protection locked="0"/>
    </xf>
    <xf numFmtId="0" fontId="10" fillId="8" borderId="6" xfId="0" applyFont="1" applyFill="1" applyBorder="1" applyAlignment="1" applyProtection="1">
      <alignment horizontal="center"/>
      <protection locked="0"/>
    </xf>
    <xf numFmtId="0" fontId="26" fillId="2" borderId="7" xfId="0" applyFont="1" applyFill="1" applyBorder="1" applyAlignment="1">
      <alignment horizontal="center"/>
    </xf>
    <xf numFmtId="0" fontId="0" fillId="0" borderId="43" xfId="0" applyBorder="1" applyAlignment="1">
      <alignment horizontal="center"/>
    </xf>
    <xf numFmtId="0" fontId="0" fillId="4" borderId="5" xfId="0" applyFill="1" applyBorder="1" applyAlignment="1">
      <alignment horizontal="center"/>
    </xf>
    <xf numFmtId="0" fontId="0" fillId="4" borderId="1" xfId="0" applyFill="1" applyBorder="1" applyAlignment="1">
      <alignment horizontal="center"/>
    </xf>
    <xf numFmtId="0" fontId="68" fillId="0" borderId="8" xfId="0" applyFont="1" applyBorder="1" applyAlignment="1">
      <alignment horizontal="center"/>
    </xf>
    <xf numFmtId="0" fontId="68" fillId="0" borderId="13" xfId="0" applyFont="1" applyBorder="1" applyAlignment="1">
      <alignment horizontal="center"/>
    </xf>
    <xf numFmtId="0" fontId="0" fillId="2" borderId="16" xfId="0" applyFill="1" applyBorder="1" applyAlignment="1">
      <alignment horizontal="center"/>
    </xf>
    <xf numFmtId="0" fontId="0" fillId="4" borderId="25" xfId="0" applyFill="1" applyBorder="1" applyAlignment="1">
      <alignment horizontal="center"/>
    </xf>
    <xf numFmtId="0" fontId="10" fillId="2" borderId="66" xfId="0" applyFont="1" applyFill="1" applyBorder="1" applyAlignment="1">
      <alignment horizontal="center"/>
    </xf>
    <xf numFmtId="0" fontId="4" fillId="0" borderId="9" xfId="0" applyFont="1" applyBorder="1" applyAlignment="1">
      <alignment horizontal="center"/>
    </xf>
    <xf numFmtId="0" fontId="10" fillId="8" borderId="49" xfId="0" applyFont="1" applyFill="1" applyBorder="1" applyAlignment="1" applyProtection="1">
      <alignment horizontal="center"/>
      <protection locked="0"/>
    </xf>
    <xf numFmtId="0" fontId="10" fillId="8" borderId="50" xfId="0" applyFont="1" applyFill="1" applyBorder="1" applyAlignment="1" applyProtection="1">
      <alignment horizontal="center"/>
      <protection locked="0"/>
    </xf>
    <xf numFmtId="0" fontId="10" fillId="8" borderId="79" xfId="0" applyFont="1" applyFill="1" applyBorder="1" applyAlignment="1" applyProtection="1">
      <alignment horizontal="center"/>
      <protection locked="0"/>
    </xf>
    <xf numFmtId="0" fontId="10" fillId="8" borderId="27" xfId="0" applyFont="1" applyFill="1" applyBorder="1" applyAlignment="1" applyProtection="1">
      <alignment horizontal="center"/>
      <protection locked="0"/>
    </xf>
    <xf numFmtId="0" fontId="54" fillId="7" borderId="29" xfId="0" applyFont="1" applyFill="1" applyBorder="1" applyAlignment="1">
      <alignment horizontal="center"/>
    </xf>
    <xf numFmtId="0" fontId="54" fillId="7" borderId="31" xfId="0" applyFont="1" applyFill="1" applyBorder="1" applyAlignment="1">
      <alignment horizontal="center"/>
    </xf>
    <xf numFmtId="0" fontId="54" fillId="7" borderId="47" xfId="0" applyFont="1" applyFill="1" applyBorder="1" applyAlignment="1">
      <alignment horizontal="center"/>
    </xf>
    <xf numFmtId="0" fontId="11" fillId="2" borderId="14" xfId="0" applyFont="1" applyFill="1" applyBorder="1" applyAlignment="1">
      <alignment horizontal="center" vertical="center" textRotation="90"/>
    </xf>
    <xf numFmtId="0" fontId="11" fillId="4" borderId="79" xfId="0" applyFont="1" applyFill="1" applyBorder="1" applyAlignment="1">
      <alignment horizontal="center" vertical="center" textRotation="90"/>
    </xf>
    <xf numFmtId="0" fontId="11" fillId="4" borderId="81" xfId="0" applyFont="1" applyFill="1" applyBorder="1" applyAlignment="1">
      <alignment horizontal="center" vertical="center" textRotation="90"/>
    </xf>
    <xf numFmtId="0" fontId="0" fillId="0" borderId="3" xfId="0" applyBorder="1" applyAlignment="1"/>
    <xf numFmtId="0" fontId="0" fillId="0" borderId="30" xfId="0" applyBorder="1" applyAlignment="1"/>
    <xf numFmtId="0" fontId="2" fillId="7" borderId="72" xfId="0" applyFont="1" applyFill="1" applyBorder="1" applyAlignment="1">
      <alignment horizontal="center"/>
    </xf>
    <xf numFmtId="0" fontId="2" fillId="7" borderId="22" xfId="0" applyFont="1" applyFill="1" applyBorder="1" applyAlignment="1">
      <alignment horizontal="center"/>
    </xf>
    <xf numFmtId="0" fontId="4" fillId="9" borderId="52" xfId="0" applyFont="1" applyFill="1" applyBorder="1" applyAlignment="1">
      <alignment horizontal="center"/>
    </xf>
    <xf numFmtId="0" fontId="0" fillId="0" borderId="24" xfId="0" applyBorder="1" applyAlignment="1">
      <alignment horizontal="center"/>
    </xf>
    <xf numFmtId="0" fontId="140" fillId="9" borderId="75" xfId="0" applyFont="1" applyFill="1" applyBorder="1" applyAlignment="1">
      <alignment horizontal="center" vertical="center"/>
    </xf>
    <xf numFmtId="0" fontId="0" fillId="0" borderId="50" xfId="0" applyBorder="1" applyAlignment="1">
      <alignment horizontal="center" vertical="center"/>
    </xf>
    <xf numFmtId="0" fontId="0" fillId="9" borderId="75" xfId="0" applyFill="1" applyBorder="1" applyAlignment="1">
      <alignment horizontal="center" vertical="center"/>
    </xf>
    <xf numFmtId="0" fontId="0" fillId="9" borderId="82" xfId="0" applyFill="1" applyBorder="1" applyAlignment="1">
      <alignment horizontal="center" vertical="center"/>
    </xf>
    <xf numFmtId="0" fontId="0" fillId="9" borderId="73" xfId="0" applyFill="1" applyBorder="1" applyAlignment="1">
      <alignment horizontal="center"/>
    </xf>
    <xf numFmtId="0" fontId="0" fillId="9" borderId="22" xfId="0" applyFill="1" applyBorder="1" applyAlignment="1">
      <alignment horizontal="center"/>
    </xf>
    <xf numFmtId="0" fontId="76" fillId="0" borderId="0" xfId="0" applyFont="1" applyAlignment="1">
      <alignment horizontal="justify"/>
    </xf>
    <xf numFmtId="0" fontId="11" fillId="2" borderId="11" xfId="0" applyFont="1" applyFill="1" applyBorder="1" applyAlignment="1">
      <alignment horizontal="center" vertical="center" textRotation="90"/>
    </xf>
    <xf numFmtId="0" fontId="11" fillId="2" borderId="33" xfId="0" applyFont="1" applyFill="1" applyBorder="1" applyAlignment="1">
      <alignment horizontal="center" vertical="center" textRotation="90"/>
    </xf>
    <xf numFmtId="0" fontId="11" fillId="2" borderId="34" xfId="0" applyFont="1" applyFill="1" applyBorder="1" applyAlignment="1">
      <alignment horizontal="center" vertical="center" textRotation="90"/>
    </xf>
    <xf numFmtId="0" fontId="11" fillId="2" borderId="35" xfId="0" applyFont="1" applyFill="1" applyBorder="1" applyAlignment="1">
      <alignment horizontal="center" vertical="center" textRotation="90"/>
    </xf>
    <xf numFmtId="0" fontId="7" fillId="0" borderId="0" xfId="0" applyFont="1" applyFill="1" applyBorder="1" applyAlignment="1">
      <alignment horizontal="center" vertical="center"/>
    </xf>
    <xf numFmtId="0" fontId="11" fillId="4" borderId="67" xfId="0" applyFont="1" applyFill="1" applyBorder="1" applyAlignment="1">
      <alignment horizontal="center" vertical="center" textRotation="90"/>
    </xf>
    <xf numFmtId="0" fontId="0" fillId="0" borderId="41" xfId="0" applyBorder="1" applyAlignment="1"/>
    <xf numFmtId="0" fontId="0" fillId="0" borderId="57" xfId="0" applyBorder="1" applyAlignment="1"/>
    <xf numFmtId="0" fontId="10" fillId="11" borderId="8" xfId="0" applyFont="1" applyFill="1" applyBorder="1" applyAlignment="1">
      <alignment horizontal="center"/>
    </xf>
    <xf numFmtId="0" fontId="10" fillId="11" borderId="13" xfId="0" applyFont="1" applyFill="1" applyBorder="1" applyAlignment="1">
      <alignment horizontal="center"/>
    </xf>
    <xf numFmtId="0" fontId="10" fillId="4" borderId="79" xfId="0" applyFont="1" applyFill="1" applyBorder="1" applyAlignment="1">
      <alignment horizontal="center" vertical="center"/>
    </xf>
    <xf numFmtId="0" fontId="0" fillId="0" borderId="49" xfId="0" applyBorder="1" applyAlignment="1">
      <alignment horizontal="center" vertical="center"/>
    </xf>
    <xf numFmtId="0" fontId="10" fillId="4" borderId="15" xfId="0" applyFont="1" applyFill="1" applyBorder="1" applyAlignment="1">
      <alignment horizontal="center" vertical="center"/>
    </xf>
    <xf numFmtId="0" fontId="13" fillId="7" borderId="72" xfId="0" applyFont="1" applyFill="1" applyBorder="1" applyAlignment="1">
      <alignment horizontal="center"/>
    </xf>
    <xf numFmtId="0" fontId="13" fillId="7" borderId="73" xfId="0" applyFont="1" applyFill="1" applyBorder="1" applyAlignment="1">
      <alignment horizontal="center"/>
    </xf>
    <xf numFmtId="0" fontId="13" fillId="7" borderId="31" xfId="0" applyFont="1" applyFill="1" applyBorder="1" applyAlignment="1">
      <alignment horizontal="center"/>
    </xf>
    <xf numFmtId="0" fontId="13" fillId="7" borderId="22" xfId="0" applyFont="1" applyFill="1" applyBorder="1" applyAlignment="1">
      <alignment horizontal="center"/>
    </xf>
    <xf numFmtId="0" fontId="13" fillId="7" borderId="72" xfId="0" applyFont="1" applyFill="1" applyBorder="1" applyAlignment="1"/>
    <xf numFmtId="0" fontId="13" fillId="7" borderId="73" xfId="0" applyFont="1" applyFill="1" applyBorder="1" applyAlignment="1"/>
    <xf numFmtId="0" fontId="13" fillId="7" borderId="22" xfId="0" applyFont="1" applyFill="1" applyBorder="1" applyAlignment="1"/>
    <xf numFmtId="0" fontId="4" fillId="0" borderId="81" xfId="0" applyFont="1" applyBorder="1" applyAlignment="1"/>
    <xf numFmtId="0" fontId="0" fillId="0" borderId="81" xfId="0" applyBorder="1" applyAlignment="1"/>
    <xf numFmtId="0" fontId="0" fillId="0" borderId="49" xfId="0" applyBorder="1" applyAlignment="1"/>
    <xf numFmtId="0" fontId="75" fillId="4" borderId="79" xfId="0" applyFont="1" applyFill="1" applyBorder="1" applyAlignment="1">
      <alignment horizontal="center" vertical="center" textRotation="90"/>
    </xf>
    <xf numFmtId="0" fontId="75" fillId="4" borderId="81" xfId="0" applyFont="1" applyFill="1" applyBorder="1" applyAlignment="1">
      <alignment horizontal="center" vertical="center" textRotation="90"/>
    </xf>
    <xf numFmtId="0" fontId="15" fillId="0" borderId="3" xfId="0" applyFont="1" applyBorder="1" applyAlignment="1">
      <alignment horizontal="center" vertical="center" textRotation="90"/>
    </xf>
    <xf numFmtId="0" fontId="11" fillId="0" borderId="0" xfId="0" applyFont="1" applyFill="1" applyBorder="1" applyAlignment="1">
      <alignment horizontal="center" vertical="center" textRotation="90"/>
    </xf>
    <xf numFmtId="0" fontId="13" fillId="0" borderId="0" xfId="0" applyFont="1" applyFill="1" applyBorder="1" applyAlignment="1"/>
    <xf numFmtId="0" fontId="75" fillId="4" borderId="3" xfId="0" applyFont="1" applyFill="1" applyBorder="1" applyAlignment="1">
      <alignment horizontal="center" vertical="center" textRotation="90"/>
    </xf>
    <xf numFmtId="0" fontId="75" fillId="0" borderId="78" xfId="0" applyFont="1" applyBorder="1" applyAlignment="1">
      <alignment horizontal="center" vertical="center" textRotation="90"/>
    </xf>
    <xf numFmtId="0" fontId="10" fillId="4" borderId="79" xfId="0" applyFont="1" applyFill="1" applyBorder="1" applyAlignment="1">
      <alignment horizontal="center" vertical="center" textRotation="90"/>
    </xf>
    <xf numFmtId="0" fontId="10" fillId="4" borderId="81" xfId="0" applyFont="1" applyFill="1" applyBorder="1" applyAlignment="1">
      <alignment horizontal="center" vertical="center" textRotation="90"/>
    </xf>
    <xf numFmtId="0" fontId="0" fillId="0" borderId="78" xfId="0" applyBorder="1" applyAlignment="1">
      <alignment horizontal="center" vertical="center" textRotation="90"/>
    </xf>
    <xf numFmtId="0" fontId="13" fillId="7" borderId="72" xfId="0" applyFont="1" applyFill="1" applyBorder="1" applyAlignment="1">
      <alignment horizontal="center" vertical="center"/>
    </xf>
    <xf numFmtId="2" fontId="28" fillId="5" borderId="16" xfId="0" applyNumberFormat="1" applyFont="1" applyFill="1" applyBorder="1" applyAlignment="1">
      <alignment horizontal="center" vertical="center"/>
    </xf>
    <xf numFmtId="2" fontId="28" fillId="5" borderId="2" xfId="0" applyNumberFormat="1" applyFont="1" applyFill="1" applyBorder="1" applyAlignment="1">
      <alignment horizontal="center" vertical="center"/>
    </xf>
    <xf numFmtId="0" fontId="10" fillId="2" borderId="42" xfId="0" applyFont="1" applyFill="1" applyBorder="1" applyAlignment="1">
      <alignment horizontal="center" vertical="center"/>
    </xf>
    <xf numFmtId="0" fontId="10" fillId="0" borderId="55" xfId="0" applyFont="1" applyBorder="1" applyAlignment="1">
      <alignment horizontal="center" vertical="center"/>
    </xf>
    <xf numFmtId="0" fontId="139" fillId="2" borderId="19" xfId="0" applyFont="1" applyFill="1" applyBorder="1" applyAlignment="1">
      <alignment horizontal="center" vertical="center"/>
    </xf>
    <xf numFmtId="0" fontId="139" fillId="0" borderId="43" xfId="0" applyFont="1" applyBorder="1" applyAlignment="1">
      <alignment vertical="center"/>
    </xf>
    <xf numFmtId="0" fontId="5" fillId="4" borderId="42" xfId="0" applyFont="1" applyFill="1" applyBorder="1" applyAlignment="1">
      <alignment vertical="center"/>
    </xf>
    <xf numFmtId="0" fontId="0" fillId="0" borderId="55" xfId="0" applyBorder="1" applyAlignment="1">
      <alignment vertical="center"/>
    </xf>
    <xf numFmtId="0" fontId="10" fillId="4" borderId="19" xfId="0" applyFont="1" applyFill="1" applyBorder="1" applyAlignment="1">
      <alignment horizontal="center" vertical="center"/>
    </xf>
    <xf numFmtId="0" fontId="10" fillId="0" borderId="43" xfId="0" applyFont="1" applyBorder="1" applyAlignment="1">
      <alignment vertical="center"/>
    </xf>
    <xf numFmtId="0" fontId="121" fillId="2" borderId="19" xfId="0" applyFont="1" applyFill="1" applyBorder="1" applyAlignment="1">
      <alignment horizontal="center" vertical="center"/>
    </xf>
    <xf numFmtId="0" fontId="121" fillId="0" borderId="43" xfId="0" applyFont="1" applyBorder="1" applyAlignment="1">
      <alignment vertical="center"/>
    </xf>
    <xf numFmtId="0" fontId="0" fillId="4" borderId="19" xfId="0" applyFill="1" applyBorder="1" applyAlignment="1">
      <alignment horizontal="center" vertical="center"/>
    </xf>
    <xf numFmtId="0" fontId="0" fillId="0" borderId="43" xfId="0" applyBorder="1" applyAlignment="1">
      <alignment vertical="center"/>
    </xf>
    <xf numFmtId="9" fontId="120" fillId="4" borderId="67" xfId="0" applyNumberFormat="1" applyFont="1" applyFill="1" applyBorder="1" applyAlignment="1">
      <alignment horizontal="center" vertical="center"/>
    </xf>
    <xf numFmtId="0" fontId="0" fillId="0" borderId="57" xfId="0" applyBorder="1" applyAlignment="1">
      <alignment vertical="center"/>
    </xf>
    <xf numFmtId="0" fontId="10" fillId="0" borderId="16" xfId="0" applyFont="1" applyBorder="1" applyAlignment="1">
      <alignment horizontal="center" vertical="center"/>
    </xf>
    <xf numFmtId="0" fontId="0" fillId="0" borderId="2" xfId="0" applyBorder="1" applyAlignment="1">
      <alignment vertical="center"/>
    </xf>
    <xf numFmtId="0" fontId="10" fillId="2" borderId="40" xfId="0" applyFont="1" applyFill="1" applyBorder="1" applyAlignment="1">
      <alignment horizontal="center" vertical="center"/>
    </xf>
    <xf numFmtId="0" fontId="10" fillId="0" borderId="7" xfId="0" applyFont="1" applyBorder="1" applyAlignment="1">
      <alignment horizontal="center" vertical="center"/>
    </xf>
    <xf numFmtId="0" fontId="5" fillId="4" borderId="40" xfId="0" applyFont="1" applyFill="1" applyBorder="1" applyAlignment="1">
      <alignment vertical="center"/>
    </xf>
    <xf numFmtId="0" fontId="0" fillId="0" borderId="7" xfId="0" applyBorder="1" applyAlignment="1">
      <alignment vertical="center"/>
    </xf>
    <xf numFmtId="2" fontId="28" fillId="0" borderId="0" xfId="0" applyNumberFormat="1" applyFont="1" applyFill="1" applyBorder="1" applyAlignment="1">
      <alignment horizontal="center" vertical="center"/>
    </xf>
    <xf numFmtId="0" fontId="3" fillId="0" borderId="57" xfId="0" applyFont="1" applyBorder="1" applyAlignment="1">
      <alignment horizontal="center" vertical="center"/>
    </xf>
    <xf numFmtId="0" fontId="140" fillId="9" borderId="0" xfId="0" applyFont="1" applyFill="1" applyBorder="1" applyAlignment="1">
      <alignment horizontal="center"/>
    </xf>
    <xf numFmtId="0" fontId="53" fillId="0" borderId="0" xfId="0" applyFont="1" applyAlignment="1">
      <alignment horizontal="center"/>
    </xf>
    <xf numFmtId="0" fontId="38" fillId="17" borderId="72" xfId="1" applyFill="1" applyBorder="1" applyAlignment="1" applyProtection="1">
      <alignment horizontal="center"/>
    </xf>
    <xf numFmtId="0" fontId="38" fillId="17" borderId="73" xfId="1" applyFill="1" applyBorder="1" applyAlignment="1" applyProtection="1">
      <alignment horizontal="center"/>
    </xf>
    <xf numFmtId="0" fontId="38" fillId="17" borderId="22" xfId="1" applyFill="1" applyBorder="1" applyAlignment="1" applyProtection="1">
      <alignment horizontal="center"/>
    </xf>
    <xf numFmtId="0" fontId="10" fillId="2" borderId="8" xfId="0" applyFont="1" applyFill="1" applyBorder="1" applyAlignment="1"/>
    <xf numFmtId="0" fontId="7" fillId="7" borderId="30" xfId="0" applyFont="1" applyFill="1" applyBorder="1" applyAlignment="1">
      <alignment horizontal="center"/>
    </xf>
    <xf numFmtId="0" fontId="7" fillId="7" borderId="32" xfId="0" applyFont="1" applyFill="1" applyBorder="1" applyAlignment="1">
      <alignment horizontal="center"/>
    </xf>
    <xf numFmtId="0" fontId="7" fillId="7" borderId="48" xfId="0" applyFont="1" applyFill="1" applyBorder="1" applyAlignment="1">
      <alignment horizontal="center"/>
    </xf>
    <xf numFmtId="0" fontId="237" fillId="7" borderId="30" xfId="1" applyFont="1" applyFill="1" applyBorder="1" applyAlignment="1" applyProtection="1">
      <alignment horizontal="center"/>
    </xf>
    <xf numFmtId="0" fontId="237" fillId="7" borderId="32" xfId="0" applyFont="1" applyFill="1" applyBorder="1" applyAlignment="1"/>
    <xf numFmtId="0" fontId="237" fillId="7" borderId="48" xfId="0" applyFont="1" applyFill="1" applyBorder="1" applyAlignment="1"/>
    <xf numFmtId="0" fontId="279" fillId="11" borderId="8" xfId="0" applyFont="1" applyFill="1" applyBorder="1" applyAlignment="1">
      <alignment horizontal="center" vertical="center"/>
    </xf>
    <xf numFmtId="0" fontId="279" fillId="11" borderId="18" xfId="0" applyFont="1" applyFill="1" applyBorder="1" applyAlignment="1">
      <alignment horizontal="center" vertical="center"/>
    </xf>
    <xf numFmtId="0" fontId="279" fillId="11" borderId="13" xfId="0" applyFont="1" applyFill="1" applyBorder="1" applyAlignment="1">
      <alignment horizontal="center" vertical="center"/>
    </xf>
    <xf numFmtId="0" fontId="0" fillId="2" borderId="1" xfId="0" applyFill="1" applyBorder="1" applyAlignment="1">
      <alignment horizontal="center" vertical="center"/>
    </xf>
    <xf numFmtId="0" fontId="91" fillId="2" borderId="1" xfId="0" applyFont="1" applyFill="1" applyBorder="1" applyAlignment="1">
      <alignment horizontal="center" vertical="center"/>
    </xf>
    <xf numFmtId="0" fontId="26" fillId="2" borderId="1" xfId="0" applyFont="1" applyFill="1" applyBorder="1" applyAlignment="1">
      <alignment horizontal="center" vertical="center"/>
    </xf>
    <xf numFmtId="0" fontId="75" fillId="2" borderId="1" xfId="0" applyFont="1" applyFill="1" applyBorder="1" applyAlignment="1">
      <alignment horizontal="center" vertical="center"/>
    </xf>
    <xf numFmtId="0" fontId="75" fillId="0" borderId="1" xfId="0" applyFont="1" applyBorder="1" applyAlignment="1">
      <alignment horizontal="center" vertical="center"/>
    </xf>
    <xf numFmtId="0" fontId="44" fillId="7" borderId="55" xfId="0" applyFont="1" applyFill="1" applyBorder="1" applyAlignment="1">
      <alignment horizontal="center"/>
    </xf>
    <xf numFmtId="0" fontId="10" fillId="2" borderId="14" xfId="0" applyFont="1" applyFill="1" applyBorder="1" applyAlignment="1">
      <alignment horizontal="center"/>
    </xf>
    <xf numFmtId="0" fontId="0" fillId="2" borderId="28" xfId="0" applyFill="1" applyBorder="1" applyAlignment="1">
      <alignment horizontal="center"/>
    </xf>
    <xf numFmtId="0" fontId="0" fillId="2" borderId="26" xfId="0" applyFill="1"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305557206912612E-2"/>
          <c:y val="7.277874821896925E-2"/>
          <c:w val="0.89699792200928807"/>
          <c:h val="0.77361113847571017"/>
        </c:manualLayout>
      </c:layout>
      <c:lineChart>
        <c:grouping val="standard"/>
        <c:varyColors val="0"/>
        <c:ser>
          <c:idx val="0"/>
          <c:order val="0"/>
          <c:spPr>
            <a:ln w="38100">
              <a:solidFill>
                <a:srgbClr val="000000"/>
              </a:solidFill>
              <a:prstDash val="solid"/>
            </a:ln>
          </c:spPr>
          <c:marker>
            <c:symbol val="none"/>
          </c:marker>
          <c:cat>
            <c:numLit>
              <c:formatCode>General</c:formatCode>
              <c:ptCount val="80"/>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pt idx="71">
                <c:v>3.5499999999999954</c:v>
              </c:pt>
              <c:pt idx="72">
                <c:v>3.5999999999999952</c:v>
              </c:pt>
              <c:pt idx="73">
                <c:v>3.649999999999995</c:v>
              </c:pt>
              <c:pt idx="74">
                <c:v>3.6999999999999948</c:v>
              </c:pt>
              <c:pt idx="75">
                <c:v>3.7499999999999947</c:v>
              </c:pt>
              <c:pt idx="76">
                <c:v>3.7999999999999945</c:v>
              </c:pt>
              <c:pt idx="77">
                <c:v>3.8499999999999943</c:v>
              </c:pt>
              <c:pt idx="78">
                <c:v>3.8999999999999941</c:v>
              </c:pt>
              <c:pt idx="79">
                <c:v>3.949999999999994</c:v>
              </c:pt>
            </c:numLit>
          </c:cat>
          <c:val>
            <c:numLit>
              <c:formatCode>General</c:formatCode>
              <c:ptCount val="8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0.99750000000000005</c:v>
              </c:pt>
              <c:pt idx="16">
                <c:v>0.96</c:v>
              </c:pt>
              <c:pt idx="17">
                <c:v>0.92249999999999999</c:v>
              </c:pt>
              <c:pt idx="18">
                <c:v>0.88500000000000001</c:v>
              </c:pt>
              <c:pt idx="19">
                <c:v>0.84750000000000003</c:v>
              </c:pt>
              <c:pt idx="20">
                <c:v>0.81</c:v>
              </c:pt>
              <c:pt idx="21">
                <c:v>0.77249999999999996</c:v>
              </c:pt>
              <c:pt idx="22">
                <c:v>0.73499999999999999</c:v>
              </c:pt>
              <c:pt idx="23">
                <c:v>0.69750000000000001</c:v>
              </c:pt>
              <c:pt idx="24">
                <c:v>0.66</c:v>
              </c:pt>
              <c:pt idx="25">
                <c:v>0.62250000000000005</c:v>
              </c:pt>
              <c:pt idx="26">
                <c:v>0.58499999999999996</c:v>
              </c:pt>
              <c:pt idx="27">
                <c:v>0.54749999999999999</c:v>
              </c:pt>
              <c:pt idx="28">
                <c:v>0.51</c:v>
              </c:pt>
              <c:pt idx="29">
                <c:v>0.47562425683709869</c:v>
              </c:pt>
              <c:pt idx="30">
                <c:v>0.44444444444444442</c:v>
              </c:pt>
              <c:pt idx="31">
                <c:v>0.41623309053069729</c:v>
              </c:pt>
              <c:pt idx="32">
                <c:v>0.390625</c:v>
              </c:pt>
              <c:pt idx="33">
                <c:v>0.36730945821854916</c:v>
              </c:pt>
              <c:pt idx="34">
                <c:v>0.34602076124567466</c:v>
              </c:pt>
              <c:pt idx="35">
                <c:v>0.32653061224489793</c:v>
              </c:pt>
              <c:pt idx="36">
                <c:v>0.30864197530864185</c:v>
              </c:pt>
              <c:pt idx="37">
                <c:v>0.29218407596785972</c:v>
              </c:pt>
              <c:pt idx="38">
                <c:v>0.27700831024930739</c:v>
              </c:pt>
              <c:pt idx="39">
                <c:v>0.26298487836949369</c:v>
              </c:pt>
              <c:pt idx="40">
                <c:v>0.25</c:v>
              </c:pt>
              <c:pt idx="41">
                <c:v>0.23795359904818561</c:v>
              </c:pt>
              <c:pt idx="42">
                <c:v>0.22675736961451246</c:v>
              </c:pt>
              <c:pt idx="43">
                <c:v>0.2163331530557058</c:v>
              </c:pt>
              <c:pt idx="44">
                <c:v>0.20661157024793386</c:v>
              </c:pt>
              <c:pt idx="45">
                <c:v>0.19753086419753085</c:v>
              </c:pt>
              <c:pt idx="46">
                <c:v>0.18903591682419663</c:v>
              </c:pt>
              <c:pt idx="47">
                <c:v>0.18107741059302848</c:v>
              </c:pt>
              <c:pt idx="48">
                <c:v>0.1736111111111111</c:v>
              </c:pt>
              <c:pt idx="49">
                <c:v>0.16659725114535606</c:v>
              </c:pt>
              <c:pt idx="50">
                <c:v>0.16</c:v>
              </c:pt>
              <c:pt idx="51">
                <c:v>0.15378700499807768</c:v>
              </c:pt>
              <c:pt idx="52">
                <c:v>0.14792899408284022</c:v>
              </c:pt>
              <c:pt idx="53">
                <c:v>0.1423994304022784</c:v>
              </c:pt>
              <c:pt idx="54">
                <c:v>0.1371742112482853</c:v>
              </c:pt>
              <c:pt idx="55">
                <c:v>0.13223140495867769</c:v>
              </c:pt>
              <c:pt idx="56">
                <c:v>0.12755102040816324</c:v>
              </c:pt>
              <c:pt idx="57">
                <c:v>0.12311480455524776</c:v>
              </c:pt>
              <c:pt idx="58">
                <c:v>0.11890606420927465</c:v>
              </c:pt>
              <c:pt idx="59">
                <c:v>0.11490950876185003</c:v>
              </c:pt>
              <c:pt idx="60">
                <c:v>0.1111111111111111</c:v>
              </c:pt>
              <c:pt idx="61">
                <c:v>0.10749798441279228</c:v>
              </c:pt>
              <c:pt idx="62">
                <c:v>0.10405827263267428</c:v>
              </c:pt>
              <c:pt idx="63">
                <c:v>0.10078105316200554</c:v>
              </c:pt>
              <c:pt idx="64">
                <c:v>9.765625E-2</c:v>
              </c:pt>
              <c:pt idx="65">
                <c:v>9.4674556213017749E-2</c:v>
              </c:pt>
              <c:pt idx="66">
                <c:v>9.1827364554637289E-2</c:v>
              </c:pt>
              <c:pt idx="67">
                <c:v>8.910670527957229E-2</c:v>
              </c:pt>
              <c:pt idx="68">
                <c:v>8.6505190311418692E-2</c:v>
              </c:pt>
              <c:pt idx="69">
                <c:v>8.401596303297626E-2</c:v>
              </c:pt>
              <c:pt idx="70">
                <c:v>8.1632653061224483E-2</c:v>
              </c:pt>
              <c:pt idx="71">
                <c:v>7.9349335449315619E-2</c:v>
              </c:pt>
              <c:pt idx="72">
                <c:v>7.716049382716049E-2</c:v>
              </c:pt>
              <c:pt idx="73">
                <c:v>7.5060987051979736E-2</c:v>
              </c:pt>
              <c:pt idx="74">
                <c:v>7.3046018991964931E-2</c:v>
              </c:pt>
              <c:pt idx="75">
                <c:v>7.1111111111111111E-2</c:v>
              </c:pt>
              <c:pt idx="76">
                <c:v>6.9252077562326861E-2</c:v>
              </c:pt>
              <c:pt idx="77">
                <c:v>6.746500252993759E-2</c:v>
              </c:pt>
              <c:pt idx="78">
                <c:v>6.5746219592373423E-2</c:v>
              </c:pt>
              <c:pt idx="79">
                <c:v>6.4092292901778564E-2</c:v>
              </c:pt>
            </c:numLit>
          </c:val>
          <c:smooth val="0"/>
        </c:ser>
        <c:dLbls>
          <c:showLegendKey val="0"/>
          <c:showVal val="0"/>
          <c:showCatName val="0"/>
          <c:showSerName val="0"/>
          <c:showPercent val="0"/>
          <c:showBubbleSize val="0"/>
        </c:dLbls>
        <c:marker val="1"/>
        <c:smooth val="0"/>
        <c:axId val="146630656"/>
        <c:axId val="150276928"/>
      </c:lineChart>
      <c:catAx>
        <c:axId val="146630656"/>
        <c:scaling>
          <c:orientation val="minMax"/>
        </c:scaling>
        <c:delete val="0"/>
        <c:axPos val="b"/>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fr-FR"/>
          </a:p>
        </c:txPr>
        <c:crossAx val="150276928"/>
        <c:crosses val="autoZero"/>
        <c:auto val="1"/>
        <c:lblAlgn val="ctr"/>
        <c:lblOffset val="100"/>
        <c:tickLblSkip val="4"/>
        <c:tickMarkSkip val="2"/>
        <c:noMultiLvlLbl val="0"/>
      </c:catAx>
      <c:valAx>
        <c:axId val="150276928"/>
        <c:scaling>
          <c:orientation val="minMax"/>
        </c:scaling>
        <c:delete val="0"/>
        <c:axPos val="l"/>
        <c:majorGridlines>
          <c:spPr>
            <a:ln w="3175">
              <a:solidFill>
                <a:srgbClr val="C0C0C0"/>
              </a:solidFill>
              <a:prstDash val="solid"/>
            </a:ln>
          </c:spPr>
        </c:majorGridlines>
        <c:numFmt formatCode="0.00" sourceLinked="0"/>
        <c:majorTickMark val="out"/>
        <c:minorTickMark val="cross"/>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46630656"/>
        <c:crosses val="autoZero"/>
        <c:crossBetween val="between"/>
        <c:majorUnit val="0.05"/>
        <c:minorUnit val="0.05"/>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3"/>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305557206912612E-2"/>
          <c:y val="7.277874821896925E-2"/>
          <c:w val="0.89699792200928807"/>
          <c:h val="0.77361113847571017"/>
        </c:manualLayout>
      </c:layout>
      <c:lineChart>
        <c:grouping val="standard"/>
        <c:varyColors val="0"/>
        <c:ser>
          <c:idx val="0"/>
          <c:order val="0"/>
          <c:spPr>
            <a:ln w="38100">
              <a:solidFill>
                <a:srgbClr val="000000"/>
              </a:solidFill>
              <a:prstDash val="solid"/>
            </a:ln>
          </c:spPr>
          <c:marker>
            <c:symbol val="none"/>
          </c:marker>
          <c:cat>
            <c:numLit>
              <c:formatCode>General</c:formatCode>
              <c:ptCount val="80"/>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pt idx="71">
                <c:v>3.5499999999999954</c:v>
              </c:pt>
              <c:pt idx="72">
                <c:v>3.5999999999999952</c:v>
              </c:pt>
              <c:pt idx="73">
                <c:v>3.649999999999995</c:v>
              </c:pt>
              <c:pt idx="74">
                <c:v>3.6999999999999948</c:v>
              </c:pt>
              <c:pt idx="75">
                <c:v>3.7499999999999947</c:v>
              </c:pt>
              <c:pt idx="76">
                <c:v>3.7999999999999945</c:v>
              </c:pt>
              <c:pt idx="77">
                <c:v>3.8499999999999943</c:v>
              </c:pt>
              <c:pt idx="78">
                <c:v>3.8999999999999941</c:v>
              </c:pt>
              <c:pt idx="79">
                <c:v>3.949999999999994</c:v>
              </c:pt>
            </c:numLit>
          </c:cat>
          <c:val>
            <c:numLit>
              <c:formatCode>General</c:formatCode>
              <c:ptCount val="8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0.99750000000000005</c:v>
              </c:pt>
              <c:pt idx="16">
                <c:v>0.96</c:v>
              </c:pt>
              <c:pt idx="17">
                <c:v>0.92249999999999999</c:v>
              </c:pt>
              <c:pt idx="18">
                <c:v>0.88500000000000001</c:v>
              </c:pt>
              <c:pt idx="19">
                <c:v>0.84750000000000003</c:v>
              </c:pt>
              <c:pt idx="20">
                <c:v>0.81</c:v>
              </c:pt>
              <c:pt idx="21">
                <c:v>0.77249999999999996</c:v>
              </c:pt>
              <c:pt idx="22">
                <c:v>0.73499999999999999</c:v>
              </c:pt>
              <c:pt idx="23">
                <c:v>0.69750000000000001</c:v>
              </c:pt>
              <c:pt idx="24">
                <c:v>0.66</c:v>
              </c:pt>
              <c:pt idx="25">
                <c:v>0.62250000000000005</c:v>
              </c:pt>
              <c:pt idx="26">
                <c:v>0.58499999999999996</c:v>
              </c:pt>
              <c:pt idx="27">
                <c:v>0.54749999999999999</c:v>
              </c:pt>
              <c:pt idx="28">
                <c:v>0.51</c:v>
              </c:pt>
              <c:pt idx="29">
                <c:v>0.47562425683709869</c:v>
              </c:pt>
              <c:pt idx="30">
                <c:v>0.44444444444444442</c:v>
              </c:pt>
              <c:pt idx="31">
                <c:v>0.41623309053069729</c:v>
              </c:pt>
              <c:pt idx="32">
                <c:v>0.390625</c:v>
              </c:pt>
              <c:pt idx="33">
                <c:v>0.36730945821854916</c:v>
              </c:pt>
              <c:pt idx="34">
                <c:v>0.34602076124567466</c:v>
              </c:pt>
              <c:pt idx="35">
                <c:v>0.32653061224489793</c:v>
              </c:pt>
              <c:pt idx="36">
                <c:v>0.30864197530864185</c:v>
              </c:pt>
              <c:pt idx="37">
                <c:v>0.29218407596785972</c:v>
              </c:pt>
              <c:pt idx="38">
                <c:v>0.27700831024930739</c:v>
              </c:pt>
              <c:pt idx="39">
                <c:v>0.26298487836949369</c:v>
              </c:pt>
              <c:pt idx="40">
                <c:v>0.25</c:v>
              </c:pt>
              <c:pt idx="41">
                <c:v>0.23795359904818561</c:v>
              </c:pt>
              <c:pt idx="42">
                <c:v>0.22675736961451246</c:v>
              </c:pt>
              <c:pt idx="43">
                <c:v>0.2163331530557058</c:v>
              </c:pt>
              <c:pt idx="44">
                <c:v>0.20661157024793386</c:v>
              </c:pt>
              <c:pt idx="45">
                <c:v>0.19753086419753085</c:v>
              </c:pt>
              <c:pt idx="46">
                <c:v>0.18903591682419663</c:v>
              </c:pt>
              <c:pt idx="47">
                <c:v>0.18107741059302848</c:v>
              </c:pt>
              <c:pt idx="48">
                <c:v>0.1736111111111111</c:v>
              </c:pt>
              <c:pt idx="49">
                <c:v>0.16659725114535606</c:v>
              </c:pt>
              <c:pt idx="50">
                <c:v>0.16</c:v>
              </c:pt>
              <c:pt idx="51">
                <c:v>0.15378700499807768</c:v>
              </c:pt>
              <c:pt idx="52">
                <c:v>0.14792899408284022</c:v>
              </c:pt>
              <c:pt idx="53">
                <c:v>0.1423994304022784</c:v>
              </c:pt>
              <c:pt idx="54">
                <c:v>0.1371742112482853</c:v>
              </c:pt>
              <c:pt idx="55">
                <c:v>0.13223140495867769</c:v>
              </c:pt>
              <c:pt idx="56">
                <c:v>0.12755102040816324</c:v>
              </c:pt>
              <c:pt idx="57">
                <c:v>0.12311480455524776</c:v>
              </c:pt>
              <c:pt idx="58">
                <c:v>0.11890606420927465</c:v>
              </c:pt>
              <c:pt idx="59">
                <c:v>0.11490950876185003</c:v>
              </c:pt>
              <c:pt idx="60">
                <c:v>0.1111111111111111</c:v>
              </c:pt>
              <c:pt idx="61">
                <c:v>0.10749798441279228</c:v>
              </c:pt>
              <c:pt idx="62">
                <c:v>0.10405827263267428</c:v>
              </c:pt>
              <c:pt idx="63">
                <c:v>0.10078105316200554</c:v>
              </c:pt>
              <c:pt idx="64">
                <c:v>9.765625E-2</c:v>
              </c:pt>
              <c:pt idx="65">
                <c:v>9.4674556213017749E-2</c:v>
              </c:pt>
              <c:pt idx="66">
                <c:v>9.1827364554637289E-2</c:v>
              </c:pt>
              <c:pt idx="67">
                <c:v>8.910670527957229E-2</c:v>
              </c:pt>
              <c:pt idx="68">
                <c:v>8.6505190311418692E-2</c:v>
              </c:pt>
              <c:pt idx="69">
                <c:v>8.401596303297626E-2</c:v>
              </c:pt>
              <c:pt idx="70">
                <c:v>8.1632653061224483E-2</c:v>
              </c:pt>
              <c:pt idx="71">
                <c:v>7.9349335449315619E-2</c:v>
              </c:pt>
              <c:pt idx="72">
                <c:v>7.716049382716049E-2</c:v>
              </c:pt>
              <c:pt idx="73">
                <c:v>7.5060987051979736E-2</c:v>
              </c:pt>
              <c:pt idx="74">
                <c:v>7.3046018991964931E-2</c:v>
              </c:pt>
              <c:pt idx="75">
                <c:v>7.1111111111111111E-2</c:v>
              </c:pt>
              <c:pt idx="76">
                <c:v>6.9252077562326861E-2</c:v>
              </c:pt>
              <c:pt idx="77">
                <c:v>6.746500252993759E-2</c:v>
              </c:pt>
              <c:pt idx="78">
                <c:v>6.5746219592373423E-2</c:v>
              </c:pt>
              <c:pt idx="79">
                <c:v>6.4092292901778564E-2</c:v>
              </c:pt>
            </c:numLit>
          </c:val>
          <c:smooth val="0"/>
        </c:ser>
        <c:dLbls>
          <c:showLegendKey val="0"/>
          <c:showVal val="0"/>
          <c:showCatName val="0"/>
          <c:showSerName val="0"/>
          <c:showPercent val="0"/>
          <c:showBubbleSize val="0"/>
        </c:dLbls>
        <c:marker val="1"/>
        <c:smooth val="0"/>
        <c:axId val="142435328"/>
        <c:axId val="150324352"/>
      </c:lineChart>
      <c:catAx>
        <c:axId val="142435328"/>
        <c:scaling>
          <c:orientation val="minMax"/>
        </c:scaling>
        <c:delete val="0"/>
        <c:axPos val="b"/>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fr-FR"/>
          </a:p>
        </c:txPr>
        <c:crossAx val="150324352"/>
        <c:crosses val="autoZero"/>
        <c:auto val="1"/>
        <c:lblAlgn val="ctr"/>
        <c:lblOffset val="100"/>
        <c:tickLblSkip val="4"/>
        <c:tickMarkSkip val="2"/>
        <c:noMultiLvlLbl val="0"/>
      </c:catAx>
      <c:valAx>
        <c:axId val="150324352"/>
        <c:scaling>
          <c:orientation val="minMax"/>
        </c:scaling>
        <c:delete val="0"/>
        <c:axPos val="l"/>
        <c:majorGridlines>
          <c:spPr>
            <a:ln w="3175">
              <a:solidFill>
                <a:srgbClr val="C0C0C0"/>
              </a:solidFill>
              <a:prstDash val="solid"/>
            </a:ln>
          </c:spPr>
        </c:majorGridlines>
        <c:numFmt formatCode="0.00" sourceLinked="0"/>
        <c:majorTickMark val="out"/>
        <c:minorTickMark val="cross"/>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42435328"/>
        <c:crosses val="autoZero"/>
        <c:crossBetween val="between"/>
        <c:majorUnit val="0.05"/>
        <c:minorUnit val="0.05"/>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4192857308064E-2"/>
          <c:y val="6.8012263468602327E-2"/>
          <c:w val="0.89375672517370375"/>
          <c:h val="0.80103332529687177"/>
        </c:manualLayout>
      </c:layout>
      <c:lineChart>
        <c:grouping val="standard"/>
        <c:varyColors val="0"/>
        <c:ser>
          <c:idx val="0"/>
          <c:order val="0"/>
          <c:spPr>
            <a:ln w="25400">
              <a:solidFill>
                <a:srgbClr val="000000"/>
              </a:solidFill>
              <a:prstDash val="solid"/>
            </a:ln>
          </c:spPr>
          <c:marker>
            <c:symbol val="none"/>
          </c:marker>
          <c:cat>
            <c:numLit>
              <c:formatCode>General</c:formatCode>
              <c:ptCount val="1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numLit>
          </c:cat>
          <c:val>
            <c:numLit>
              <c:formatCode>General</c:formatCode>
              <c:ptCount val="11"/>
              <c:pt idx="0">
                <c:v>1</c:v>
              </c:pt>
              <c:pt idx="1">
                <c:v>1.0190000000000001</c:v>
              </c:pt>
              <c:pt idx="2">
                <c:v>1.0409999999999999</c:v>
              </c:pt>
              <c:pt idx="3">
                <c:v>1.0660000000000001</c:v>
              </c:pt>
              <c:pt idx="4">
                <c:v>1.0940000000000001</c:v>
              </c:pt>
              <c:pt idx="5">
                <c:v>1.125</c:v>
              </c:pt>
              <c:pt idx="6">
                <c:v>1.159</c:v>
              </c:pt>
              <c:pt idx="7">
                <c:v>1.196</c:v>
              </c:pt>
              <c:pt idx="8">
                <c:v>1.23</c:v>
              </c:pt>
              <c:pt idx="9">
                <c:v>1.27</c:v>
              </c:pt>
              <c:pt idx="10">
                <c:v>1.31</c:v>
              </c:pt>
            </c:numLit>
          </c:val>
          <c:smooth val="0"/>
        </c:ser>
        <c:ser>
          <c:idx val="1"/>
          <c:order val="1"/>
          <c:spPr>
            <a:ln w="25400">
              <a:solidFill>
                <a:srgbClr val="000000"/>
              </a:solidFill>
              <a:prstDash val="solid"/>
            </a:ln>
          </c:spPr>
          <c:marker>
            <c:symbol val="none"/>
          </c:marker>
          <c:cat>
            <c:numLit>
              <c:formatCode>General</c:formatCode>
              <c:ptCount val="1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numLit>
          </c:cat>
          <c:val>
            <c:numLit>
              <c:formatCode>General</c:formatCode>
              <c:ptCount val="11"/>
              <c:pt idx="0">
                <c:v>1.1638171666563828</c:v>
              </c:pt>
              <c:pt idx="1">
                <c:v>1.1494935735230336</c:v>
              </c:pt>
              <c:pt idx="2">
                <c:v>1.1415366877404491</c:v>
              </c:pt>
              <c:pt idx="3">
                <c:v>1.1399809535067331</c:v>
              </c:pt>
              <c:pt idx="4">
                <c:v>1.1448608150199886</c:v>
              </c:pt>
              <c:pt idx="5">
                <c:v>1.1562107164783175</c:v>
              </c:pt>
              <c:pt idx="6">
                <c:v>1.1740651020798243</c:v>
              </c:pt>
              <c:pt idx="7">
                <c:v>1.1984584160226108</c:v>
              </c:pt>
              <c:pt idx="8">
                <c:v>1.2294251025047809</c:v>
              </c:pt>
              <c:pt idx="9">
                <c:v>1.2669996057244368</c:v>
              </c:pt>
              <c:pt idx="10">
                <c:v>1.3112163698796822</c:v>
              </c:pt>
            </c:numLit>
          </c:val>
          <c:smooth val="0"/>
        </c:ser>
        <c:ser>
          <c:idx val="2"/>
          <c:order val="2"/>
          <c:spPr>
            <a:ln w="25400">
              <a:solidFill>
                <a:srgbClr val="000000"/>
              </a:solidFill>
              <a:prstDash val="solid"/>
            </a:ln>
          </c:spPr>
          <c:marker>
            <c:symbol val="none"/>
          </c:marker>
          <c:cat>
            <c:numLit>
              <c:formatCode>General</c:formatCode>
              <c:ptCount val="1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numLit>
          </c:cat>
          <c:val>
            <c:numLit>
              <c:formatCode>General</c:formatCode>
              <c:ptCount val="11"/>
              <c:pt idx="0">
                <c:v>1.4147502752539771</c:v>
              </c:pt>
              <c:pt idx="1">
                <c:v>1.3662953077449185</c:v>
              </c:pt>
              <c:pt idx="2">
                <c:v>1.3270852633927714</c:v>
              </c:pt>
              <c:pt idx="3">
                <c:v>1.2972600526160936</c:v>
              </c:pt>
              <c:pt idx="4">
                <c:v>1.276959585833443</c:v>
              </c:pt>
              <c:pt idx="5">
                <c:v>1.2663237734633772</c:v>
              </c:pt>
              <c:pt idx="6">
                <c:v>1.2654925259244543</c:v>
              </c:pt>
              <c:pt idx="7">
                <c:v>1.2746057536352315</c:v>
              </c:pt>
              <c:pt idx="8">
                <c:v>1.2938033670142672</c:v>
              </c:pt>
              <c:pt idx="9">
                <c:v>1.3232252764801187</c:v>
              </c:pt>
              <c:pt idx="10">
                <c:v>1.3630113924513441</c:v>
              </c:pt>
            </c:numLit>
          </c:val>
          <c:smooth val="0"/>
        </c:ser>
        <c:ser>
          <c:idx val="3"/>
          <c:order val="3"/>
          <c:spPr>
            <a:ln w="25400">
              <a:solidFill>
                <a:srgbClr val="000000"/>
              </a:solidFill>
              <a:prstDash val="solid"/>
            </a:ln>
          </c:spPr>
          <c:marker>
            <c:symbol val="none"/>
          </c:marker>
          <c:cat>
            <c:numLit>
              <c:formatCode>General</c:formatCode>
              <c:ptCount val="1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numLit>
          </c:cat>
          <c:val>
            <c:numLit>
              <c:formatCode>General</c:formatCode>
              <c:ptCount val="11"/>
              <c:pt idx="0">
                <c:v>1.7628314258813855</c:v>
              </c:pt>
              <c:pt idx="1">
                <c:v>1.6788655052226702</c:v>
              </c:pt>
              <c:pt idx="2">
                <c:v>1.6065424874941672</c:v>
              </c:pt>
              <c:pt idx="3">
                <c:v>1.5461854581596168</c:v>
              </c:pt>
              <c:pt idx="4">
                <c:v>1.4981175026827604</c:v>
              </c:pt>
              <c:pt idx="5">
                <c:v>1.4626617065273386</c:v>
              </c:pt>
              <c:pt idx="6">
                <c:v>1.4401411551570924</c:v>
              </c:pt>
              <c:pt idx="7">
                <c:v>1.4308789340357631</c:v>
              </c:pt>
              <c:pt idx="8">
                <c:v>1.4351981286270907</c:v>
              </c:pt>
              <c:pt idx="9">
                <c:v>1.4534218243948165</c:v>
              </c:pt>
              <c:pt idx="10">
                <c:v>1.4858731068026816</c:v>
              </c:pt>
            </c:numLit>
          </c:val>
          <c:smooth val="0"/>
        </c:ser>
        <c:ser>
          <c:idx val="4"/>
          <c:order val="4"/>
          <c:spPr>
            <a:ln w="25400">
              <a:solidFill>
                <a:srgbClr val="000000"/>
              </a:solidFill>
              <a:prstDash val="solid"/>
            </a:ln>
          </c:spPr>
          <c:marker>
            <c:symbol val="none"/>
          </c:marker>
          <c:cat>
            <c:numLit>
              <c:formatCode>General</c:formatCode>
              <c:ptCount val="1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numLit>
          </c:cat>
          <c:val>
            <c:numLit>
              <c:formatCode>General</c:formatCode>
              <c:ptCount val="11"/>
              <c:pt idx="0">
                <c:v>2.2249197176441395</c:v>
              </c:pt>
              <c:pt idx="1">
                <c:v>2.1034001125887754</c:v>
              </c:pt>
              <c:pt idx="2">
                <c:v>1.9954149078208765</c:v>
              </c:pt>
              <c:pt idx="3">
                <c:v>1.9015602378318495</c:v>
              </c:pt>
              <c:pt idx="4">
                <c:v>1.8224322371130994</c:v>
              </c:pt>
              <c:pt idx="5">
                <c:v>1.7586270401560331</c:v>
              </c:pt>
              <c:pt idx="6">
                <c:v>1.7107407814520565</c:v>
              </c:pt>
              <c:pt idx="7">
                <c:v>1.6793695954925756</c:v>
              </c:pt>
              <c:pt idx="8">
                <c:v>1.6651096167689963</c:v>
              </c:pt>
              <c:pt idx="9">
                <c:v>1.6685569797727247</c:v>
              </c:pt>
              <c:pt idx="10">
                <c:v>1.6903078189951672</c:v>
              </c:pt>
            </c:numLit>
          </c:val>
          <c:smooth val="0"/>
        </c:ser>
        <c:ser>
          <c:idx val="5"/>
          <c:order val="5"/>
          <c:spPr>
            <a:ln w="25400">
              <a:solidFill>
                <a:srgbClr val="000000"/>
              </a:solidFill>
              <a:prstDash val="solid"/>
            </a:ln>
          </c:spPr>
          <c:marker>
            <c:symbol val="none"/>
          </c:marker>
          <c:cat>
            <c:numLit>
              <c:formatCode>General</c:formatCode>
              <c:ptCount val="1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numLit>
          </c:cat>
          <c:val>
            <c:numLit>
              <c:formatCode>General</c:formatCode>
              <c:ptCount val="11"/>
              <c:pt idx="0">
                <c:v>2.8270220144108729</c:v>
              </c:pt>
              <c:pt idx="1">
                <c:v>2.6650977819606005</c:v>
              </c:pt>
              <c:pt idx="2">
                <c:v>2.5180235396177566</c:v>
              </c:pt>
              <c:pt idx="3">
                <c:v>2.3867777801265198</c:v>
              </c:pt>
              <c:pt idx="4">
                <c:v>2.2723389962310692</c:v>
              </c:pt>
              <c:pt idx="5">
                <c:v>2.1756856806755844</c:v>
              </c:pt>
              <c:pt idx="6">
                <c:v>2.0977963262042447</c:v>
              </c:pt>
              <c:pt idx="7">
                <c:v>2.0396494255612292</c:v>
              </c:pt>
              <c:pt idx="8">
                <c:v>2.0022234714907174</c:v>
              </c:pt>
              <c:pt idx="9">
                <c:v>1.9864969567368882</c:v>
              </c:pt>
              <c:pt idx="10">
                <c:v>1.9934483740439213</c:v>
              </c:pt>
            </c:numLit>
          </c:val>
          <c:smooth val="0"/>
        </c:ser>
        <c:dLbls>
          <c:showLegendKey val="0"/>
          <c:showVal val="0"/>
          <c:showCatName val="0"/>
          <c:showSerName val="0"/>
          <c:showPercent val="0"/>
          <c:showBubbleSize val="0"/>
        </c:dLbls>
        <c:marker val="1"/>
        <c:smooth val="0"/>
        <c:axId val="142844416"/>
        <c:axId val="150329536"/>
      </c:lineChart>
      <c:catAx>
        <c:axId val="142844416"/>
        <c:scaling>
          <c:orientation val="minMax"/>
        </c:scaling>
        <c:delete val="0"/>
        <c:axPos val="b"/>
        <c:minorGridlines>
          <c:spPr>
            <a:ln w="3175">
              <a:solidFill>
                <a:srgbClr val="000000"/>
              </a:solidFill>
              <a:prstDash val="solid"/>
            </a:ln>
          </c:spPr>
        </c:minorGridlines>
        <c:numFmt formatCode="General" sourceLinked="1"/>
        <c:majorTickMark val="out"/>
        <c:minorTickMark val="none"/>
        <c:tickLblPos val="nextTo"/>
        <c:spPr>
          <a:ln w="3175">
            <a:solidFill>
              <a:srgbClr val="000000"/>
            </a:solidFill>
            <a:prstDash val="solid"/>
          </a:ln>
        </c:spPr>
        <c:txPr>
          <a:bodyPr rot="-5400000" vert="horz"/>
          <a:lstStyle/>
          <a:p>
            <a:pPr>
              <a:defRPr sz="900" b="1" i="0" u="none" strike="noStrike" baseline="0">
                <a:solidFill>
                  <a:srgbClr val="000000"/>
                </a:solidFill>
                <a:latin typeface="Arial"/>
                <a:ea typeface="Arial"/>
                <a:cs typeface="Arial"/>
              </a:defRPr>
            </a:pPr>
            <a:endParaRPr lang="fr-FR"/>
          </a:p>
        </c:txPr>
        <c:crossAx val="150329536"/>
        <c:crosses val="autoZero"/>
        <c:auto val="1"/>
        <c:lblAlgn val="ctr"/>
        <c:lblOffset val="100"/>
        <c:tickLblSkip val="1"/>
        <c:tickMarkSkip val="1"/>
        <c:noMultiLvlLbl val="0"/>
      </c:catAx>
      <c:valAx>
        <c:axId val="150329536"/>
        <c:scaling>
          <c:orientation val="minMax"/>
          <c:min val="1"/>
        </c:scaling>
        <c:delete val="0"/>
        <c:axPos val="l"/>
        <c:minorGridlines>
          <c:spPr>
            <a:ln w="3175">
              <a:solidFill>
                <a:srgbClr val="000000"/>
              </a:solidFill>
              <a:prstDash val="solid"/>
            </a:ln>
          </c:spPr>
        </c:minorGridlines>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fr-FR"/>
          </a:p>
        </c:txPr>
        <c:crossAx val="142844416"/>
        <c:crosses val="autoZero"/>
        <c:crossBetween val="between"/>
        <c:minorUnit val="0.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337439442897254E-2"/>
          <c:y val="6.6833774099930854E-2"/>
          <c:w val="0.88156121430388701"/>
          <c:h val="0.80448061416583427"/>
        </c:manualLayout>
      </c:layout>
      <c:lineChart>
        <c:grouping val="standard"/>
        <c:varyColors val="0"/>
        <c:ser>
          <c:idx val="0"/>
          <c:order val="0"/>
          <c:spPr>
            <a:ln w="25400">
              <a:solidFill>
                <a:srgbClr val="000000"/>
              </a:solidFill>
              <a:prstDash val="solid"/>
            </a:ln>
          </c:spPr>
          <c:marker>
            <c:symbol val="none"/>
          </c:marker>
          <c:cat>
            <c:numLit>
              <c:formatCode>General</c:formatCode>
              <c:ptCount val="1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numLit>
          </c:cat>
          <c:val>
            <c:numLit>
              <c:formatCode>General</c:formatCode>
              <c:ptCount val="11"/>
              <c:pt idx="0">
                <c:v>0</c:v>
              </c:pt>
              <c:pt idx="1">
                <c:v>1.2500000000000001E-2</c:v>
              </c:pt>
              <c:pt idx="2">
                <c:v>2.5000000000000001E-2</c:v>
              </c:pt>
              <c:pt idx="3">
                <c:v>3.7500000000000006E-2</c:v>
              </c:pt>
              <c:pt idx="4">
                <c:v>0.05</c:v>
              </c:pt>
              <c:pt idx="5">
                <c:v>6.1699999999999998E-2</c:v>
              </c:pt>
              <c:pt idx="6">
                <c:v>7.2900000000000006E-2</c:v>
              </c:pt>
              <c:pt idx="7">
                <c:v>8.48E-2</c:v>
              </c:pt>
              <c:pt idx="8">
                <c:v>9.7500000000000003E-2</c:v>
              </c:pt>
              <c:pt idx="9">
                <c:v>0.11090999999999999</c:v>
              </c:pt>
              <c:pt idx="10">
                <c:v>0.12509999999999999</c:v>
              </c:pt>
            </c:numLit>
          </c:val>
          <c:smooth val="0"/>
        </c:ser>
        <c:ser>
          <c:idx val="1"/>
          <c:order val="1"/>
          <c:spPr>
            <a:ln w="25400">
              <a:solidFill>
                <a:srgbClr val="000000"/>
              </a:solidFill>
              <a:prstDash val="solid"/>
            </a:ln>
          </c:spPr>
          <c:marker>
            <c:symbol val="none"/>
          </c:marker>
          <c:cat>
            <c:numLit>
              <c:formatCode>General</c:formatCode>
              <c:ptCount val="1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numLit>
          </c:cat>
          <c:val>
            <c:numLit>
              <c:formatCode>General</c:formatCode>
              <c:ptCount val="11"/>
              <c:pt idx="0">
                <c:v>1.7497732704682131E-2</c:v>
              </c:pt>
              <c:pt idx="1">
                <c:v>2.4813910373337744E-2</c:v>
              </c:pt>
              <c:pt idx="2">
                <c:v>3.2895633684086927E-2</c:v>
              </c:pt>
              <c:pt idx="3">
                <c:v>4.174290263692966E-2</c:v>
              </c:pt>
              <c:pt idx="4">
                <c:v>5.1355717231865959E-2</c:v>
              </c:pt>
              <c:pt idx="5">
                <c:v>6.1734077468895809E-2</c:v>
              </c:pt>
              <c:pt idx="6">
                <c:v>7.2877983348019232E-2</c:v>
              </c:pt>
              <c:pt idx="7">
                <c:v>8.4787434869236206E-2</c:v>
              </c:pt>
              <c:pt idx="8">
                <c:v>9.7462432032546731E-2</c:v>
              </c:pt>
              <c:pt idx="9">
                <c:v>0.11090297483795082</c:v>
              </c:pt>
              <c:pt idx="10">
                <c:v>0.12510906328544849</c:v>
              </c:pt>
            </c:numLit>
          </c:val>
          <c:smooth val="0"/>
        </c:ser>
        <c:ser>
          <c:idx val="2"/>
          <c:order val="2"/>
          <c:spPr>
            <a:ln w="25400">
              <a:solidFill>
                <a:srgbClr val="000000"/>
              </a:solidFill>
              <a:prstDash val="solid"/>
            </a:ln>
          </c:spPr>
          <c:marker>
            <c:symbol val="none"/>
          </c:marker>
          <c:cat>
            <c:numLit>
              <c:formatCode>General</c:formatCode>
              <c:ptCount val="1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numLit>
          </c:cat>
          <c:val>
            <c:numLit>
              <c:formatCode>General</c:formatCode>
              <c:ptCount val="11"/>
              <c:pt idx="0">
                <c:v>3.5265396140664276E-2</c:v>
              </c:pt>
              <c:pt idx="1">
                <c:v>3.9197533731481549E-2</c:v>
              </c:pt>
              <c:pt idx="2">
                <c:v>4.4359280537204705E-2</c:v>
              </c:pt>
              <c:pt idx="3">
                <c:v>5.0750636557833753E-2</c:v>
              </c:pt>
              <c:pt idx="4">
                <c:v>5.8371601793368678E-2</c:v>
              </c:pt>
              <c:pt idx="5">
                <c:v>6.7222176243809481E-2</c:v>
              </c:pt>
              <c:pt idx="6">
                <c:v>7.7302359909156182E-2</c:v>
              </c:pt>
              <c:pt idx="7">
                <c:v>8.861215278940876E-2</c:v>
              </c:pt>
              <c:pt idx="8">
                <c:v>0.10115155488456723</c:v>
              </c:pt>
              <c:pt idx="9">
                <c:v>0.11492056619463158</c:v>
              </c:pt>
              <c:pt idx="10">
                <c:v>0.12991918671960179</c:v>
              </c:pt>
            </c:numLit>
          </c:val>
          <c:smooth val="0"/>
        </c:ser>
        <c:ser>
          <c:idx val="3"/>
          <c:order val="3"/>
          <c:spPr>
            <a:ln w="25400">
              <a:solidFill>
                <a:srgbClr val="000000"/>
              </a:solidFill>
              <a:prstDash val="solid"/>
            </a:ln>
          </c:spPr>
          <c:marker>
            <c:symbol val="none"/>
          </c:marker>
          <c:cat>
            <c:numLit>
              <c:formatCode>General</c:formatCode>
              <c:ptCount val="1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numLit>
          </c:cat>
          <c:val>
            <c:numLit>
              <c:formatCode>General</c:formatCode>
              <c:ptCount val="11"/>
              <c:pt idx="0">
                <c:v>5.3589838484620546E-2</c:v>
              </c:pt>
              <c:pt idx="1">
                <c:v>5.6015994679532284E-2</c:v>
              </c:pt>
              <c:pt idx="2">
                <c:v>5.9819682000482738E-2</c:v>
              </c:pt>
              <c:pt idx="3">
                <c:v>6.5000900447471921E-2</c:v>
              </c:pt>
              <c:pt idx="4">
                <c:v>7.1559650020499826E-2</c:v>
              </c:pt>
              <c:pt idx="5">
                <c:v>7.9495930719566441E-2</c:v>
              </c:pt>
              <c:pt idx="6">
                <c:v>8.8809742544671777E-2</c:v>
              </c:pt>
              <c:pt idx="7">
                <c:v>9.9501085495815822E-2</c:v>
              </c:pt>
              <c:pt idx="8">
                <c:v>0.1115699595729986</c:v>
              </c:pt>
              <c:pt idx="9">
                <c:v>0.12501636477622008</c:v>
              </c:pt>
              <c:pt idx="10">
                <c:v>0.13984030110548029</c:v>
              </c:pt>
            </c:numLit>
          </c:val>
          <c:smooth val="0"/>
        </c:ser>
        <c:ser>
          <c:idx val="4"/>
          <c:order val="4"/>
          <c:spPr>
            <a:ln w="25400">
              <a:solidFill>
                <a:srgbClr val="000000"/>
              </a:solidFill>
              <a:prstDash val="solid"/>
            </a:ln>
          </c:spPr>
          <c:marker>
            <c:symbol val="none"/>
          </c:marker>
          <c:cat>
            <c:numLit>
              <c:formatCode>General</c:formatCode>
              <c:ptCount val="1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numLit>
          </c:cat>
          <c:val>
            <c:numLit>
              <c:formatCode>General</c:formatCode>
              <c:ptCount val="11"/>
              <c:pt idx="0">
                <c:v>7.2794046850980718E-2</c:v>
              </c:pt>
              <c:pt idx="1">
                <c:v>7.5804042782529515E-2</c:v>
              </c:pt>
              <c:pt idx="2">
                <c:v>7.998623954528343E-2</c:v>
              </c:pt>
              <c:pt idx="3">
                <c:v>8.534063713924242E-2</c:v>
              </c:pt>
              <c:pt idx="4">
                <c:v>9.1867235564406527E-2</c:v>
              </c:pt>
              <c:pt idx="5">
                <c:v>9.9566034820775723E-2</c:v>
              </c:pt>
              <c:pt idx="6">
                <c:v>0.10843703490835002</c:v>
              </c:pt>
              <c:pt idx="7">
                <c:v>0.11848023582712942</c:v>
              </c:pt>
              <c:pt idx="8">
                <c:v>0.12969563757711394</c:v>
              </c:pt>
              <c:pt idx="9">
                <c:v>0.14208324015830354</c:v>
              </c:pt>
              <c:pt idx="10">
                <c:v>0.15564304357069822</c:v>
              </c:pt>
            </c:numLit>
          </c:val>
          <c:smooth val="0"/>
        </c:ser>
        <c:ser>
          <c:idx val="5"/>
          <c:order val="5"/>
          <c:spPr>
            <a:ln w="25400">
              <a:solidFill>
                <a:srgbClr val="000000"/>
              </a:solidFill>
              <a:prstDash val="solid"/>
            </a:ln>
          </c:spPr>
          <c:marker>
            <c:symbol val="none"/>
          </c:marker>
          <c:cat>
            <c:numLit>
              <c:formatCode>General</c:formatCode>
              <c:ptCount val="1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numLit>
          </c:cat>
          <c:val>
            <c:numLit>
              <c:formatCode>General</c:formatCode>
              <c:ptCount val="11"/>
              <c:pt idx="0">
                <c:v>9.3261531627963121E-2</c:v>
              </c:pt>
              <c:pt idx="1">
                <c:v>9.9329712317491686E-2</c:v>
              </c:pt>
              <c:pt idx="2">
                <c:v>0.10594526677669153</c:v>
              </c:pt>
              <c:pt idx="3">
                <c:v>0.11310819500556266</c:v>
              </c:pt>
              <c:pt idx="4">
                <c:v>0.12081849700410505</c:v>
              </c:pt>
              <c:pt idx="5">
                <c:v>0.12907617277231873</c:v>
              </c:pt>
              <c:pt idx="6">
                <c:v>0.13788122231020369</c:v>
              </c:pt>
              <c:pt idx="7">
                <c:v>0.14723364561775995</c:v>
              </c:pt>
              <c:pt idx="8">
                <c:v>0.15713344269498747</c:v>
              </c:pt>
              <c:pt idx="9">
                <c:v>0.16758061354188628</c:v>
              </c:pt>
              <c:pt idx="10">
                <c:v>0.17857515815845637</c:v>
              </c:pt>
            </c:numLit>
          </c:val>
          <c:smooth val="0"/>
        </c:ser>
        <c:dLbls>
          <c:showLegendKey val="0"/>
          <c:showVal val="0"/>
          <c:showCatName val="0"/>
          <c:showSerName val="0"/>
          <c:showPercent val="0"/>
          <c:showBubbleSize val="0"/>
        </c:dLbls>
        <c:marker val="1"/>
        <c:smooth val="0"/>
        <c:axId val="142844928"/>
        <c:axId val="153706496"/>
      </c:lineChart>
      <c:catAx>
        <c:axId val="142844928"/>
        <c:scaling>
          <c:orientation val="minMax"/>
        </c:scaling>
        <c:delete val="0"/>
        <c:axPos val="b"/>
        <c:minorGridlines>
          <c:spPr>
            <a:ln w="3175">
              <a:solidFill>
                <a:srgbClr val="000000"/>
              </a:solidFill>
              <a:prstDash val="solid"/>
            </a:ln>
          </c:spPr>
        </c:minorGridlines>
        <c:numFmt formatCode="General" sourceLinked="1"/>
        <c:majorTickMark val="out"/>
        <c:minorTickMark val="none"/>
        <c:tickLblPos val="nextTo"/>
        <c:spPr>
          <a:ln w="3175">
            <a:solidFill>
              <a:srgbClr val="000000"/>
            </a:solidFill>
            <a:prstDash val="solid"/>
          </a:ln>
        </c:spPr>
        <c:txPr>
          <a:bodyPr rot="-5400000" vert="horz"/>
          <a:lstStyle/>
          <a:p>
            <a:pPr>
              <a:defRPr sz="900" b="1" i="0" u="none" strike="noStrike" baseline="0">
                <a:solidFill>
                  <a:srgbClr val="000000"/>
                </a:solidFill>
                <a:latin typeface="Arial"/>
                <a:ea typeface="Arial"/>
                <a:cs typeface="Arial"/>
              </a:defRPr>
            </a:pPr>
            <a:endParaRPr lang="fr-FR"/>
          </a:p>
        </c:txPr>
        <c:crossAx val="153706496"/>
        <c:crosses val="autoZero"/>
        <c:auto val="1"/>
        <c:lblAlgn val="ctr"/>
        <c:lblOffset val="100"/>
        <c:tickLblSkip val="1"/>
        <c:tickMarkSkip val="1"/>
        <c:noMultiLvlLbl val="0"/>
      </c:catAx>
      <c:valAx>
        <c:axId val="153706496"/>
        <c:scaling>
          <c:orientation val="minMax"/>
          <c:max val="0.18"/>
        </c:scaling>
        <c:delete val="0"/>
        <c:axPos val="l"/>
        <c:minorGridlines>
          <c:spPr>
            <a:ln w="3175">
              <a:solidFill>
                <a:srgbClr val="000000"/>
              </a:solidFill>
              <a:prstDash val="solid"/>
            </a:ln>
          </c:spPr>
        </c:minorGridlines>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fr-FR"/>
          </a:p>
        </c:txPr>
        <c:crossAx val="142844928"/>
        <c:crosses val="autoZero"/>
        <c:crossBetween val="between"/>
        <c:minorUnit val="0.0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305557206912612E-2"/>
          <c:y val="7.277874821896925E-2"/>
          <c:w val="0.89699792200928807"/>
          <c:h val="0.77361113847571017"/>
        </c:manualLayout>
      </c:layout>
      <c:lineChart>
        <c:grouping val="standard"/>
        <c:varyColors val="0"/>
        <c:ser>
          <c:idx val="0"/>
          <c:order val="0"/>
          <c:spPr>
            <a:ln w="38100">
              <a:solidFill>
                <a:srgbClr val="000000"/>
              </a:solidFill>
              <a:prstDash val="solid"/>
            </a:ln>
          </c:spPr>
          <c:marker>
            <c:symbol val="none"/>
          </c:marker>
          <c:cat>
            <c:numLit>
              <c:formatCode>General</c:formatCode>
              <c:ptCount val="80"/>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pt idx="71">
                <c:v>3.5499999999999954</c:v>
              </c:pt>
              <c:pt idx="72">
                <c:v>3.5999999999999952</c:v>
              </c:pt>
              <c:pt idx="73">
                <c:v>3.649999999999995</c:v>
              </c:pt>
              <c:pt idx="74">
                <c:v>3.6999999999999948</c:v>
              </c:pt>
              <c:pt idx="75">
                <c:v>3.7499999999999947</c:v>
              </c:pt>
              <c:pt idx="76">
                <c:v>3.7999999999999945</c:v>
              </c:pt>
              <c:pt idx="77">
                <c:v>3.8499999999999943</c:v>
              </c:pt>
              <c:pt idx="78">
                <c:v>3.8999999999999941</c:v>
              </c:pt>
              <c:pt idx="79">
                <c:v>3.949999999999994</c:v>
              </c:pt>
            </c:numLit>
          </c:cat>
          <c:val>
            <c:numLit>
              <c:formatCode>General</c:formatCode>
              <c:ptCount val="8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0.99750000000000005</c:v>
              </c:pt>
              <c:pt idx="16">
                <c:v>0.96</c:v>
              </c:pt>
              <c:pt idx="17">
                <c:v>0.92249999999999999</c:v>
              </c:pt>
              <c:pt idx="18">
                <c:v>0.88500000000000001</c:v>
              </c:pt>
              <c:pt idx="19">
                <c:v>0.84750000000000003</c:v>
              </c:pt>
              <c:pt idx="20">
                <c:v>0.81</c:v>
              </c:pt>
              <c:pt idx="21">
                <c:v>0.77249999999999996</c:v>
              </c:pt>
              <c:pt idx="22">
                <c:v>0.73499999999999999</c:v>
              </c:pt>
              <c:pt idx="23">
                <c:v>0.69750000000000001</c:v>
              </c:pt>
              <c:pt idx="24">
                <c:v>0.66</c:v>
              </c:pt>
              <c:pt idx="25">
                <c:v>0.62250000000000005</c:v>
              </c:pt>
              <c:pt idx="26">
                <c:v>0.58499999999999996</c:v>
              </c:pt>
              <c:pt idx="27">
                <c:v>0.54749999999999999</c:v>
              </c:pt>
              <c:pt idx="28">
                <c:v>0.51</c:v>
              </c:pt>
              <c:pt idx="29">
                <c:v>0.47562425683709869</c:v>
              </c:pt>
              <c:pt idx="30">
                <c:v>0.44444444444444442</c:v>
              </c:pt>
              <c:pt idx="31">
                <c:v>0.41623309053069729</c:v>
              </c:pt>
              <c:pt idx="32">
                <c:v>0.390625</c:v>
              </c:pt>
              <c:pt idx="33">
                <c:v>0.36730945821854916</c:v>
              </c:pt>
              <c:pt idx="34">
                <c:v>0.34602076124567466</c:v>
              </c:pt>
              <c:pt idx="35">
                <c:v>0.32653061224489793</c:v>
              </c:pt>
              <c:pt idx="36">
                <c:v>0.30864197530864185</c:v>
              </c:pt>
              <c:pt idx="37">
                <c:v>0.29218407596785972</c:v>
              </c:pt>
              <c:pt idx="38">
                <c:v>0.27700831024930739</c:v>
              </c:pt>
              <c:pt idx="39">
                <c:v>0.26298487836949369</c:v>
              </c:pt>
              <c:pt idx="40">
                <c:v>0.25</c:v>
              </c:pt>
              <c:pt idx="41">
                <c:v>0.23795359904818561</c:v>
              </c:pt>
              <c:pt idx="42">
                <c:v>0.22675736961451246</c:v>
              </c:pt>
              <c:pt idx="43">
                <c:v>0.2163331530557058</c:v>
              </c:pt>
              <c:pt idx="44">
                <c:v>0.20661157024793386</c:v>
              </c:pt>
              <c:pt idx="45">
                <c:v>0.19753086419753085</c:v>
              </c:pt>
              <c:pt idx="46">
                <c:v>0.18903591682419663</c:v>
              </c:pt>
              <c:pt idx="47">
                <c:v>0.18107741059302848</c:v>
              </c:pt>
              <c:pt idx="48">
                <c:v>0.1736111111111111</c:v>
              </c:pt>
              <c:pt idx="49">
                <c:v>0.16659725114535606</c:v>
              </c:pt>
              <c:pt idx="50">
                <c:v>0.16</c:v>
              </c:pt>
              <c:pt idx="51">
                <c:v>0.15378700499807768</c:v>
              </c:pt>
              <c:pt idx="52">
                <c:v>0.14792899408284022</c:v>
              </c:pt>
              <c:pt idx="53">
                <c:v>0.1423994304022784</c:v>
              </c:pt>
              <c:pt idx="54">
                <c:v>0.1371742112482853</c:v>
              </c:pt>
              <c:pt idx="55">
                <c:v>0.13223140495867769</c:v>
              </c:pt>
              <c:pt idx="56">
                <c:v>0.12755102040816324</c:v>
              </c:pt>
              <c:pt idx="57">
                <c:v>0.12311480455524776</c:v>
              </c:pt>
              <c:pt idx="58">
                <c:v>0.11890606420927465</c:v>
              </c:pt>
              <c:pt idx="59">
                <c:v>0.11490950876185003</c:v>
              </c:pt>
              <c:pt idx="60">
                <c:v>0.1111111111111111</c:v>
              </c:pt>
              <c:pt idx="61">
                <c:v>0.10749798441279228</c:v>
              </c:pt>
              <c:pt idx="62">
                <c:v>0.10405827263267428</c:v>
              </c:pt>
              <c:pt idx="63">
                <c:v>0.10078105316200554</c:v>
              </c:pt>
              <c:pt idx="64">
                <c:v>9.765625E-2</c:v>
              </c:pt>
              <c:pt idx="65">
                <c:v>9.4674556213017749E-2</c:v>
              </c:pt>
              <c:pt idx="66">
                <c:v>9.1827364554637289E-2</c:v>
              </c:pt>
              <c:pt idx="67">
                <c:v>8.910670527957229E-2</c:v>
              </c:pt>
              <c:pt idx="68">
                <c:v>8.6505190311418692E-2</c:v>
              </c:pt>
              <c:pt idx="69">
                <c:v>8.401596303297626E-2</c:v>
              </c:pt>
              <c:pt idx="70">
                <c:v>8.1632653061224483E-2</c:v>
              </c:pt>
              <c:pt idx="71">
                <c:v>7.9349335449315619E-2</c:v>
              </c:pt>
              <c:pt idx="72">
                <c:v>7.716049382716049E-2</c:v>
              </c:pt>
              <c:pt idx="73">
                <c:v>7.5060987051979736E-2</c:v>
              </c:pt>
              <c:pt idx="74">
                <c:v>7.3046018991964931E-2</c:v>
              </c:pt>
              <c:pt idx="75">
                <c:v>7.1111111111111111E-2</c:v>
              </c:pt>
              <c:pt idx="76">
                <c:v>6.9252077562326861E-2</c:v>
              </c:pt>
              <c:pt idx="77">
                <c:v>6.746500252993759E-2</c:v>
              </c:pt>
              <c:pt idx="78">
                <c:v>6.5746219592373423E-2</c:v>
              </c:pt>
              <c:pt idx="79">
                <c:v>6.4092292901778564E-2</c:v>
              </c:pt>
            </c:numLit>
          </c:val>
          <c:smooth val="0"/>
        </c:ser>
        <c:dLbls>
          <c:showLegendKey val="0"/>
          <c:showVal val="0"/>
          <c:showCatName val="0"/>
          <c:showSerName val="0"/>
          <c:showPercent val="0"/>
          <c:showBubbleSize val="0"/>
        </c:dLbls>
        <c:marker val="1"/>
        <c:smooth val="0"/>
        <c:axId val="150499840"/>
        <c:axId val="150274048"/>
      </c:lineChart>
      <c:catAx>
        <c:axId val="150499840"/>
        <c:scaling>
          <c:orientation val="minMax"/>
        </c:scaling>
        <c:delete val="0"/>
        <c:axPos val="b"/>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fr-FR"/>
          </a:p>
        </c:txPr>
        <c:crossAx val="150274048"/>
        <c:crosses val="autoZero"/>
        <c:auto val="1"/>
        <c:lblAlgn val="ctr"/>
        <c:lblOffset val="100"/>
        <c:tickLblSkip val="4"/>
        <c:tickMarkSkip val="2"/>
        <c:noMultiLvlLbl val="0"/>
      </c:catAx>
      <c:valAx>
        <c:axId val="150274048"/>
        <c:scaling>
          <c:orientation val="minMax"/>
        </c:scaling>
        <c:delete val="0"/>
        <c:axPos val="l"/>
        <c:majorGridlines>
          <c:spPr>
            <a:ln w="3175">
              <a:solidFill>
                <a:srgbClr val="C0C0C0"/>
              </a:solidFill>
              <a:prstDash val="solid"/>
            </a:ln>
          </c:spPr>
        </c:majorGridlines>
        <c:numFmt formatCode="0.00" sourceLinked="0"/>
        <c:majorTickMark val="out"/>
        <c:minorTickMark val="cross"/>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50499840"/>
        <c:crosses val="autoZero"/>
        <c:crossBetween val="between"/>
        <c:majorUnit val="0.05"/>
        <c:minorUnit val="0.05"/>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3"/>
  </c:printSettings>
</c:chartSpace>
</file>

<file path=xl/ctrlProps/ctrlProp1.xml><?xml version="1.0" encoding="utf-8"?>
<formControlPr xmlns="http://schemas.microsoft.com/office/spreadsheetml/2009/9/main" objectType="Drop" dropLines="3" dropStyle="combo" dx="18" fmlaLink="$AI$2" fmlaRange="$AJ$1:$AJ$3" noThreeD="1" sel="2" val="0"/>
</file>

<file path=xl/ctrlProps/ctrlProp10.xml><?xml version="1.0" encoding="utf-8"?>
<formControlPr xmlns="http://schemas.microsoft.com/office/spreadsheetml/2009/9/main" objectType="Drop" dropLines="4" dropStyle="combo" dx="18" fmlaLink="$Z$1" fmlaRange="$AA$1:$AA$4" noThreeD="1" sel="4" val="0"/>
</file>

<file path=xl/ctrlProps/ctrlProp11.xml><?xml version="1.0" encoding="utf-8"?>
<formControlPr xmlns="http://schemas.microsoft.com/office/spreadsheetml/2009/9/main" objectType="Drop" dropLines="3" dropStyle="combo" dx="18" fmlaLink="$AE$1" fmlaRange="$AF$1:$AF$3" noThreeD="1" sel="2" val="0"/>
</file>

<file path=xl/ctrlProps/ctrlProp12.xml><?xml version="1.0" encoding="utf-8"?>
<formControlPr xmlns="http://schemas.microsoft.com/office/spreadsheetml/2009/9/main" objectType="Drop" dropLines="2" dropStyle="combo" dx="18" fmlaLink="$Q$1" fmlaRange="$R$1:$R$2" noThreeD="1" sel="2" val="0"/>
</file>

<file path=xl/ctrlProps/ctrlProp13.xml><?xml version="1.0" encoding="utf-8"?>
<formControlPr xmlns="http://schemas.microsoft.com/office/spreadsheetml/2009/9/main" objectType="Drop" dropLines="2" dropStyle="combo" dx="18" fmlaLink="$AM$11" fmlaRange="$AN$11:$AN$12" noThreeD="1" val="0"/>
</file>

<file path=xl/ctrlProps/ctrlProp14.xml><?xml version="1.0" encoding="utf-8"?>
<formControlPr xmlns="http://schemas.microsoft.com/office/spreadsheetml/2009/9/main" objectType="Drop" dropLines="2" dropStyle="combo" dx="18" fmlaLink="$Y$17" fmlaRange="$Y$18:$Y$19" noThreeD="1" val="0"/>
</file>

<file path=xl/ctrlProps/ctrlProp15.xml><?xml version="1.0" encoding="utf-8"?>
<formControlPr xmlns="http://schemas.microsoft.com/office/spreadsheetml/2009/9/main" objectType="Drop" dropLines="2" dropStyle="combo" dx="18" fmlaLink="$K$1" fmlaRange="$K$2:$K$3" noThreeD="1" val="0"/>
</file>

<file path=xl/ctrlProps/ctrlProp16.xml><?xml version="1.0" encoding="utf-8"?>
<formControlPr xmlns="http://schemas.microsoft.com/office/spreadsheetml/2009/9/main" objectType="Drop" dropLines="13" dropStyle="combo" dx="18" fmlaLink="$L$5" fmlaRange="$K$6:$M$19" noThreeD="1" sel="2"/>
</file>

<file path=xl/ctrlProps/ctrlProp17.xml><?xml version="1.0" encoding="utf-8"?>
<formControlPr xmlns="http://schemas.microsoft.com/office/spreadsheetml/2009/9/main" objectType="Drop" dropLines="3" dropStyle="combo" dx="18" fmlaLink="$S$7" fmlaRange="$S$8:$S$10" noThreeD="1" sel="2" val="0"/>
</file>

<file path=xl/ctrlProps/ctrlProp18.xml><?xml version="1.0" encoding="utf-8"?>
<formControlPr xmlns="http://schemas.microsoft.com/office/spreadsheetml/2009/9/main" objectType="Drop" dropLines="12" dropStyle="combo" dx="18" fmlaLink="$Z$1" fmlaRange="$AA$1:$AA$12" sel="9" val="0"/>
</file>

<file path=xl/ctrlProps/ctrlProp2.xml><?xml version="1.0" encoding="utf-8"?>
<formControlPr xmlns="http://schemas.microsoft.com/office/spreadsheetml/2009/9/main" objectType="Drop" dropStyle="combo" dx="18" fmlaLink="$Z$1" fmlaRange="$AA$1:$AA$8" noThreeD="1" val="0"/>
</file>

<file path=xl/ctrlProps/ctrlProp3.xml><?xml version="1.0" encoding="utf-8"?>
<formControlPr xmlns="http://schemas.microsoft.com/office/spreadsheetml/2009/9/main" objectType="Drop" dropLines="3" dropStyle="combo" dx="18" fmlaLink="$AM$1" fmlaRange="$AN$1:$AN$3" noThreeD="1" sel="3" val="0"/>
</file>

<file path=xl/ctrlProps/ctrlProp4.xml><?xml version="1.0" encoding="utf-8"?>
<formControlPr xmlns="http://schemas.microsoft.com/office/spreadsheetml/2009/9/main" objectType="Drop" dropLines="3" dropStyle="combo" dx="18" fmlaLink="$Z$12" fmlaRange="$AA$12:$AA$14" noThreeD="1" val="0"/>
</file>

<file path=xl/ctrlProps/ctrlProp5.xml><?xml version="1.0" encoding="utf-8"?>
<formControlPr xmlns="http://schemas.microsoft.com/office/spreadsheetml/2009/9/main" objectType="Drop" dropLines="3" dropStyle="combo" dx="18" fmlaLink="$AL$6" fmlaRange="$AK$6:$AK$8" noThreeD="1" val="0"/>
</file>

<file path=xl/ctrlProps/ctrlProp6.xml><?xml version="1.0" encoding="utf-8"?>
<formControlPr xmlns="http://schemas.microsoft.com/office/spreadsheetml/2009/9/main" objectType="Drop" dropLines="3" dropStyle="combo" dx="18" fmlaLink="$AD$10" fmlaRange="$AE$10:$AE$12" noThreeD="1" sel="2" val="0"/>
</file>

<file path=xl/ctrlProps/ctrlProp7.xml><?xml version="1.0" encoding="utf-8"?>
<formControlPr xmlns="http://schemas.microsoft.com/office/spreadsheetml/2009/9/main" objectType="Drop" dropLines="3" dropStyle="combo" dx="18" fmlaLink="$AD$10" fmlaRange="$AE$10:$AE$12" noThreeD="1" sel="2" val="0"/>
</file>

<file path=xl/ctrlProps/ctrlProp8.xml><?xml version="1.0" encoding="utf-8"?>
<formControlPr xmlns="http://schemas.microsoft.com/office/spreadsheetml/2009/9/main" objectType="Drop" dropLines="120" dropStyle="combo" dx="18" fmlaLink="$A$91" fmlaRange="$A$92:$A$215" noThreeD="1" sel="82" val="67"/>
</file>

<file path=xl/ctrlProps/ctrlProp9.xml><?xml version="1.0" encoding="utf-8"?>
<formControlPr xmlns="http://schemas.microsoft.com/office/spreadsheetml/2009/9/main" objectType="Scroll" dx="16" fmlaLink="$R$12" horiz="1" inc="10" max="2000" page="10" val="578"/>
</file>

<file path=xl/drawings/_rels/drawing10.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jpeg"/></Relationships>
</file>

<file path=xl/drawings/_rels/drawing1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chart" Target="../charts/chart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6.jpeg"/><Relationship Id="rId2" Type="http://schemas.openxmlformats.org/officeDocument/2006/relationships/image" Target="../media/image34.wmf"/><Relationship Id="rId1" Type="http://schemas.openxmlformats.org/officeDocument/2006/relationships/image" Target="../media/image3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8.wmf"/><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39.wmf"/></Relationships>
</file>

<file path=xl/drawings/_rels/drawing16.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40.png"/></Relationships>
</file>

<file path=xl/drawings/_rels/drawing23.xml.rels><?xml version="1.0" encoding="UTF-8" standalone="yes"?>
<Relationships xmlns="http://schemas.openxmlformats.org/package/2006/relationships"><Relationship Id="rId1" Type="http://schemas.openxmlformats.org/officeDocument/2006/relationships/image" Target="../media/image4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5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52.png"/></Relationships>
</file>

<file path=xl/drawings/_rels/drawing27.xml.rels><?xml version="1.0" encoding="UTF-8" standalone="yes"?>
<Relationships xmlns="http://schemas.openxmlformats.org/package/2006/relationships"><Relationship Id="rId2" Type="http://schemas.openxmlformats.org/officeDocument/2006/relationships/image" Target="../media/image53.png"/><Relationship Id="rId1" Type="http://schemas.openxmlformats.org/officeDocument/2006/relationships/image" Target="../media/image40.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3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6.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88.png"/><Relationship Id="rId1" Type="http://schemas.openxmlformats.org/officeDocument/2006/relationships/image" Target="../media/image26.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44.xml.rels><?xml version="1.0" encoding="UTF-8" standalone="yes"?>
<Relationships xmlns="http://schemas.openxmlformats.org/package/2006/relationships"><Relationship Id="rId2" Type="http://schemas.openxmlformats.org/officeDocument/2006/relationships/image" Target="../media/image103.png"/><Relationship Id="rId1" Type="http://schemas.openxmlformats.org/officeDocument/2006/relationships/image" Target="../media/image26.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04.png"/></Relationships>
</file>

<file path=xl/drawings/_rels/drawing46.xml.rels><?xml version="1.0" encoding="UTF-8" standalone="yes"?>
<Relationships xmlns="http://schemas.openxmlformats.org/package/2006/relationships"><Relationship Id="rId2" Type="http://schemas.openxmlformats.org/officeDocument/2006/relationships/image" Target="../media/image108.png"/><Relationship Id="rId1" Type="http://schemas.openxmlformats.org/officeDocument/2006/relationships/image" Target="../media/image26.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5.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5" Type="http://schemas.openxmlformats.org/officeDocument/2006/relationships/image" Target="../media/image9.emf"/><Relationship Id="rId4" Type="http://schemas.openxmlformats.org/officeDocument/2006/relationships/image" Target="../media/image8.emf"/></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wmf"/><Relationship Id="rId4"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emf"/><Relationship Id="rId1" Type="http://schemas.openxmlformats.org/officeDocument/2006/relationships/image" Target="../media/image16.emf"/><Relationship Id="rId4" Type="http://schemas.openxmlformats.org/officeDocument/2006/relationships/image" Target="../media/image19.png"/></Relationships>
</file>

<file path=xl/drawings/_rels/drawing9.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9.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7.emf"/></Relationships>
</file>

<file path=xl/drawings/_rels/vmlDrawing16.v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vmlDrawing17.vml.rels><?xml version="1.0" encoding="UTF-8" standalone="yes"?>
<Relationships xmlns="http://schemas.openxmlformats.org/package/2006/relationships"><Relationship Id="rId3" Type="http://schemas.openxmlformats.org/officeDocument/2006/relationships/image" Target="../media/image44.emf"/><Relationship Id="rId2" Type="http://schemas.openxmlformats.org/officeDocument/2006/relationships/image" Target="../media/image46.png"/><Relationship Id="rId1" Type="http://schemas.openxmlformats.org/officeDocument/2006/relationships/image" Target="../media/image45.png"/></Relationships>
</file>

<file path=xl/drawings/_rels/vmlDrawing18.vml.rels><?xml version="1.0" encoding="UTF-8" standalone="yes"?>
<Relationships xmlns="http://schemas.openxmlformats.org/package/2006/relationships"><Relationship Id="rId3" Type="http://schemas.openxmlformats.org/officeDocument/2006/relationships/image" Target="../media/image48.png"/><Relationship Id="rId2" Type="http://schemas.openxmlformats.org/officeDocument/2006/relationships/image" Target="../media/image46.png"/><Relationship Id="rId1" Type="http://schemas.openxmlformats.org/officeDocument/2006/relationships/image" Target="../media/image45.png"/><Relationship Id="rId4" Type="http://schemas.openxmlformats.org/officeDocument/2006/relationships/image" Target="../media/image47.emf"/></Relationships>
</file>

<file path=xl/drawings/_rels/vmlDrawing19.vml.rels><?xml version="1.0" encoding="UTF-8" standalone="yes"?>
<Relationships xmlns="http://schemas.openxmlformats.org/package/2006/relationships"><Relationship Id="rId3" Type="http://schemas.openxmlformats.org/officeDocument/2006/relationships/image" Target="../media/image47.emf"/><Relationship Id="rId2" Type="http://schemas.openxmlformats.org/officeDocument/2006/relationships/image" Target="../media/image46.png"/><Relationship Id="rId1" Type="http://schemas.openxmlformats.org/officeDocument/2006/relationships/image" Target="../media/image48.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3" Type="http://schemas.openxmlformats.org/officeDocument/2006/relationships/image" Target="../media/image47.emf"/><Relationship Id="rId2" Type="http://schemas.openxmlformats.org/officeDocument/2006/relationships/image" Target="../media/image46.png"/><Relationship Id="rId1" Type="http://schemas.openxmlformats.org/officeDocument/2006/relationships/image" Target="../media/image48.png"/><Relationship Id="rId4" Type="http://schemas.openxmlformats.org/officeDocument/2006/relationships/image" Target="../media/image49.png"/></Relationships>
</file>

<file path=xl/drawings/_rels/vmlDrawing21.vml.rels><?xml version="1.0" encoding="UTF-8" standalone="yes"?>
<Relationships xmlns="http://schemas.openxmlformats.org/package/2006/relationships"><Relationship Id="rId3" Type="http://schemas.openxmlformats.org/officeDocument/2006/relationships/image" Target="../media/image47.emf"/><Relationship Id="rId2" Type="http://schemas.openxmlformats.org/officeDocument/2006/relationships/image" Target="../media/image46.png"/><Relationship Id="rId1" Type="http://schemas.openxmlformats.org/officeDocument/2006/relationships/image" Target="../media/image48.png"/></Relationships>
</file>

<file path=xl/drawings/_rels/vmlDrawing23.vml.rels><?xml version="1.0" encoding="UTF-8" standalone="yes"?>
<Relationships xmlns="http://schemas.openxmlformats.org/package/2006/relationships"><Relationship Id="rId3" Type="http://schemas.openxmlformats.org/officeDocument/2006/relationships/image" Target="../media/image48.png"/><Relationship Id="rId2" Type="http://schemas.openxmlformats.org/officeDocument/2006/relationships/image" Target="../media/image51.png"/><Relationship Id="rId1" Type="http://schemas.openxmlformats.org/officeDocument/2006/relationships/image" Target="../media/image50.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8.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8.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8.png"/></Relationships>
</file>

<file path=xl/drawings/_rels/vmlDrawing28.vml.rels><?xml version="1.0" encoding="UTF-8" standalone="yes"?>
<Relationships xmlns="http://schemas.openxmlformats.org/package/2006/relationships"><Relationship Id="rId3" Type="http://schemas.openxmlformats.org/officeDocument/2006/relationships/image" Target="../media/image54.png"/><Relationship Id="rId2" Type="http://schemas.openxmlformats.org/officeDocument/2006/relationships/image" Target="../media/image45.png"/><Relationship Id="rId1" Type="http://schemas.openxmlformats.org/officeDocument/2006/relationships/image" Target="../media/image48.png"/></Relationships>
</file>

<file path=xl/drawings/_rels/vmlDrawing29.v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8.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48.png"/></Relationships>
</file>

<file path=xl/drawings/_rels/vmlDrawing31.vml.rels><?xml version="1.0" encoding="UTF-8" standalone="yes"?>
<Relationships xmlns="http://schemas.openxmlformats.org/package/2006/relationships"><Relationship Id="rId3" Type="http://schemas.openxmlformats.org/officeDocument/2006/relationships/image" Target="../media/image44.emf"/><Relationship Id="rId2" Type="http://schemas.openxmlformats.org/officeDocument/2006/relationships/image" Target="../media/image46.png"/><Relationship Id="rId1" Type="http://schemas.openxmlformats.org/officeDocument/2006/relationships/image" Target="../media/image45.png"/></Relationships>
</file>

<file path=xl/drawings/_rels/vmlDrawing32.vml.rels><?xml version="1.0" encoding="UTF-8" standalone="yes"?>
<Relationships xmlns="http://schemas.openxmlformats.org/package/2006/relationships"><Relationship Id="rId3" Type="http://schemas.openxmlformats.org/officeDocument/2006/relationships/image" Target="../media/image57.emf"/><Relationship Id="rId2" Type="http://schemas.openxmlformats.org/officeDocument/2006/relationships/image" Target="../media/image56.wmf"/><Relationship Id="rId1" Type="http://schemas.openxmlformats.org/officeDocument/2006/relationships/image" Target="../media/image55.emf"/><Relationship Id="rId5" Type="http://schemas.openxmlformats.org/officeDocument/2006/relationships/image" Target="../media/image59.png"/><Relationship Id="rId4" Type="http://schemas.openxmlformats.org/officeDocument/2006/relationships/image" Target="../media/image58.wmf"/></Relationships>
</file>

<file path=xl/drawings/_rels/vmlDrawing33.vml.rels><?xml version="1.0" encoding="UTF-8" standalone="yes"?>
<Relationships xmlns="http://schemas.openxmlformats.org/package/2006/relationships"><Relationship Id="rId3" Type="http://schemas.openxmlformats.org/officeDocument/2006/relationships/image" Target="../media/image62.wmf"/><Relationship Id="rId2" Type="http://schemas.openxmlformats.org/officeDocument/2006/relationships/image" Target="../media/image61.wmf"/><Relationship Id="rId1" Type="http://schemas.openxmlformats.org/officeDocument/2006/relationships/image" Target="../media/image60.emf"/><Relationship Id="rId5" Type="http://schemas.openxmlformats.org/officeDocument/2006/relationships/image" Target="../media/image64.png"/><Relationship Id="rId4" Type="http://schemas.openxmlformats.org/officeDocument/2006/relationships/image" Target="../media/image63.wmf"/></Relationships>
</file>

<file path=xl/drawings/_rels/vmlDrawing34.vml.rels><?xml version="1.0" encoding="UTF-8" standalone="yes"?>
<Relationships xmlns="http://schemas.openxmlformats.org/package/2006/relationships"><Relationship Id="rId3" Type="http://schemas.openxmlformats.org/officeDocument/2006/relationships/image" Target="../media/image66.emf"/><Relationship Id="rId2" Type="http://schemas.openxmlformats.org/officeDocument/2006/relationships/image" Target="../media/image58.wmf"/><Relationship Id="rId1" Type="http://schemas.openxmlformats.org/officeDocument/2006/relationships/image" Target="../media/image65.emf"/><Relationship Id="rId5" Type="http://schemas.openxmlformats.org/officeDocument/2006/relationships/image" Target="../media/image68.png"/><Relationship Id="rId4" Type="http://schemas.openxmlformats.org/officeDocument/2006/relationships/image" Target="../media/image67.wmf"/></Relationships>
</file>

<file path=xl/drawings/_rels/vmlDrawing35.vml.rels><?xml version="1.0" encoding="UTF-8" standalone="yes"?>
<Relationships xmlns="http://schemas.openxmlformats.org/package/2006/relationships"><Relationship Id="rId1" Type="http://schemas.openxmlformats.org/officeDocument/2006/relationships/image" Target="../media/image69.png"/></Relationships>
</file>

<file path=xl/drawings/_rels/vmlDrawing36.vml.rels><?xml version="1.0" encoding="UTF-8" standalone="yes"?>
<Relationships xmlns="http://schemas.openxmlformats.org/package/2006/relationships"><Relationship Id="rId3" Type="http://schemas.openxmlformats.org/officeDocument/2006/relationships/image" Target="../media/image72.emf"/><Relationship Id="rId2" Type="http://schemas.openxmlformats.org/officeDocument/2006/relationships/image" Target="../media/image71.wmf"/><Relationship Id="rId1" Type="http://schemas.openxmlformats.org/officeDocument/2006/relationships/image" Target="../media/image70.wmf"/><Relationship Id="rId5" Type="http://schemas.openxmlformats.org/officeDocument/2006/relationships/image" Target="../media/image74.png"/><Relationship Id="rId4" Type="http://schemas.openxmlformats.org/officeDocument/2006/relationships/image" Target="../media/image73.wmf"/></Relationships>
</file>

<file path=xl/drawings/_rels/vmlDrawing37.vml.rels><?xml version="1.0" encoding="UTF-8" standalone="yes"?>
<Relationships xmlns="http://schemas.openxmlformats.org/package/2006/relationships"><Relationship Id="rId3" Type="http://schemas.openxmlformats.org/officeDocument/2006/relationships/image" Target="../media/image77.wmf"/><Relationship Id="rId2" Type="http://schemas.openxmlformats.org/officeDocument/2006/relationships/image" Target="../media/image76.wmf"/><Relationship Id="rId1" Type="http://schemas.openxmlformats.org/officeDocument/2006/relationships/image" Target="../media/image75.emf"/><Relationship Id="rId5" Type="http://schemas.openxmlformats.org/officeDocument/2006/relationships/image" Target="../media/image79.png"/><Relationship Id="rId4" Type="http://schemas.openxmlformats.org/officeDocument/2006/relationships/image" Target="../media/image78.emf"/></Relationships>
</file>

<file path=xl/drawings/_rels/vmlDrawing38.vml.rels><?xml version="1.0" encoding="UTF-8" standalone="yes"?>
<Relationships xmlns="http://schemas.openxmlformats.org/package/2006/relationships"><Relationship Id="rId3" Type="http://schemas.openxmlformats.org/officeDocument/2006/relationships/image" Target="../media/image82.emf"/><Relationship Id="rId2" Type="http://schemas.openxmlformats.org/officeDocument/2006/relationships/image" Target="../media/image81.emf"/><Relationship Id="rId1" Type="http://schemas.openxmlformats.org/officeDocument/2006/relationships/image" Target="../media/image80.emf"/><Relationship Id="rId5" Type="http://schemas.openxmlformats.org/officeDocument/2006/relationships/image" Target="../media/image84.png"/><Relationship Id="rId4" Type="http://schemas.openxmlformats.org/officeDocument/2006/relationships/image" Target="../media/image83.emf"/></Relationships>
</file>

<file path=xl/drawings/_rels/vmlDrawing39.vml.rels><?xml version="1.0" encoding="UTF-8" standalone="yes"?>
<Relationships xmlns="http://schemas.openxmlformats.org/package/2006/relationships"><Relationship Id="rId3" Type="http://schemas.openxmlformats.org/officeDocument/2006/relationships/image" Target="../media/image86.emf"/><Relationship Id="rId2" Type="http://schemas.openxmlformats.org/officeDocument/2006/relationships/image" Target="../media/image85.emf"/><Relationship Id="rId1" Type="http://schemas.openxmlformats.org/officeDocument/2006/relationships/image" Target="../media/image57.emf"/><Relationship Id="rId5" Type="http://schemas.openxmlformats.org/officeDocument/2006/relationships/image" Target="../media/image59.png"/><Relationship Id="rId4" Type="http://schemas.openxmlformats.org/officeDocument/2006/relationships/image" Target="../media/image87.emf"/></Relationships>
</file>

<file path=xl/drawings/_rels/vmlDrawing40.vml.rels><?xml version="1.0" encoding="UTF-8" standalone="yes"?>
<Relationships xmlns="http://schemas.openxmlformats.org/package/2006/relationships"><Relationship Id="rId3" Type="http://schemas.openxmlformats.org/officeDocument/2006/relationships/image" Target="../media/image89.emf"/><Relationship Id="rId7" Type="http://schemas.openxmlformats.org/officeDocument/2006/relationships/image" Target="../media/image64.png"/><Relationship Id="rId2" Type="http://schemas.openxmlformats.org/officeDocument/2006/relationships/image" Target="../media/image60.emf"/><Relationship Id="rId1" Type="http://schemas.openxmlformats.org/officeDocument/2006/relationships/image" Target="../media/image57.emf"/><Relationship Id="rId6" Type="http://schemas.openxmlformats.org/officeDocument/2006/relationships/image" Target="../media/image59.png"/><Relationship Id="rId5" Type="http://schemas.openxmlformats.org/officeDocument/2006/relationships/image" Target="../media/image91.emf"/><Relationship Id="rId4" Type="http://schemas.openxmlformats.org/officeDocument/2006/relationships/image" Target="../media/image90.emf"/></Relationships>
</file>

<file path=xl/drawings/_rels/vmlDrawing41.vml.rels><?xml version="1.0" encoding="UTF-8" standalone="yes"?>
<Relationships xmlns="http://schemas.openxmlformats.org/package/2006/relationships"><Relationship Id="rId8" Type="http://schemas.openxmlformats.org/officeDocument/2006/relationships/image" Target="../media/image59.png"/><Relationship Id="rId3" Type="http://schemas.openxmlformats.org/officeDocument/2006/relationships/image" Target="../media/image91.emf"/><Relationship Id="rId7" Type="http://schemas.openxmlformats.org/officeDocument/2006/relationships/image" Target="../media/image64.png"/><Relationship Id="rId2" Type="http://schemas.openxmlformats.org/officeDocument/2006/relationships/image" Target="../media/image60.emf"/><Relationship Id="rId1" Type="http://schemas.openxmlformats.org/officeDocument/2006/relationships/image" Target="../media/image57.emf"/><Relationship Id="rId6" Type="http://schemas.openxmlformats.org/officeDocument/2006/relationships/image" Target="../media/image94.emf"/><Relationship Id="rId5" Type="http://schemas.openxmlformats.org/officeDocument/2006/relationships/image" Target="../media/image93.emf"/><Relationship Id="rId4" Type="http://schemas.openxmlformats.org/officeDocument/2006/relationships/image" Target="../media/image92.emf"/></Relationships>
</file>

<file path=xl/drawings/_rels/vmlDrawing42.vml.rels><?xml version="1.0" encoding="UTF-8" standalone="yes"?>
<Relationships xmlns="http://schemas.openxmlformats.org/package/2006/relationships"><Relationship Id="rId3" Type="http://schemas.openxmlformats.org/officeDocument/2006/relationships/image" Target="../media/image96.emf"/><Relationship Id="rId7" Type="http://schemas.openxmlformats.org/officeDocument/2006/relationships/image" Target="../media/image98.emf"/><Relationship Id="rId2" Type="http://schemas.openxmlformats.org/officeDocument/2006/relationships/image" Target="../media/image95.emf"/><Relationship Id="rId1" Type="http://schemas.openxmlformats.org/officeDocument/2006/relationships/image" Target="../media/image57.emf"/><Relationship Id="rId6" Type="http://schemas.openxmlformats.org/officeDocument/2006/relationships/image" Target="../media/image59.png"/><Relationship Id="rId5" Type="http://schemas.openxmlformats.org/officeDocument/2006/relationships/image" Target="../media/image68.png"/><Relationship Id="rId4" Type="http://schemas.openxmlformats.org/officeDocument/2006/relationships/image" Target="../media/image97.emf"/></Relationships>
</file>

<file path=xl/drawings/_rels/vmlDrawing43.vml.rels><?xml version="1.0" encoding="UTF-8" standalone="yes"?>
<Relationships xmlns="http://schemas.openxmlformats.org/package/2006/relationships"><Relationship Id="rId8" Type="http://schemas.openxmlformats.org/officeDocument/2006/relationships/image" Target="../media/image59.png"/><Relationship Id="rId3" Type="http://schemas.openxmlformats.org/officeDocument/2006/relationships/image" Target="../media/image96.emf"/><Relationship Id="rId7" Type="http://schemas.openxmlformats.org/officeDocument/2006/relationships/image" Target="../media/image68.png"/><Relationship Id="rId2" Type="http://schemas.openxmlformats.org/officeDocument/2006/relationships/image" Target="../media/image95.emf"/><Relationship Id="rId1" Type="http://schemas.openxmlformats.org/officeDocument/2006/relationships/image" Target="../media/image57.emf"/><Relationship Id="rId6" Type="http://schemas.openxmlformats.org/officeDocument/2006/relationships/image" Target="../media/image97.emf"/><Relationship Id="rId5" Type="http://schemas.openxmlformats.org/officeDocument/2006/relationships/image" Target="../media/image100.emf"/><Relationship Id="rId4" Type="http://schemas.openxmlformats.org/officeDocument/2006/relationships/image" Target="../media/image99.emf"/></Relationships>
</file>

<file path=xl/drawings/_rels/vmlDrawing44.vml.rels><?xml version="1.0" encoding="UTF-8" standalone="yes"?>
<Relationships xmlns="http://schemas.openxmlformats.org/package/2006/relationships"><Relationship Id="rId3" Type="http://schemas.openxmlformats.org/officeDocument/2006/relationships/image" Target="../media/image101.emf"/><Relationship Id="rId2" Type="http://schemas.openxmlformats.org/officeDocument/2006/relationships/image" Target="../media/image57.emf"/><Relationship Id="rId1" Type="http://schemas.openxmlformats.org/officeDocument/2006/relationships/image" Target="../media/image56.wmf"/><Relationship Id="rId5" Type="http://schemas.openxmlformats.org/officeDocument/2006/relationships/image" Target="../media/image59.png"/><Relationship Id="rId4" Type="http://schemas.openxmlformats.org/officeDocument/2006/relationships/image" Target="../media/image102.emf"/></Relationships>
</file>

<file path=xl/drawings/_rels/vmlDrawing46.vml.rels><?xml version="1.0" encoding="UTF-8" standalone="yes"?>
<Relationships xmlns="http://schemas.openxmlformats.org/package/2006/relationships"><Relationship Id="rId3" Type="http://schemas.openxmlformats.org/officeDocument/2006/relationships/image" Target="../media/image105.emf"/><Relationship Id="rId7" Type="http://schemas.openxmlformats.org/officeDocument/2006/relationships/image" Target="../media/image107.wmf"/><Relationship Id="rId2" Type="http://schemas.openxmlformats.org/officeDocument/2006/relationships/image" Target="../media/image60.emf"/><Relationship Id="rId1" Type="http://schemas.openxmlformats.org/officeDocument/2006/relationships/image" Target="../media/image57.emf"/><Relationship Id="rId6" Type="http://schemas.openxmlformats.org/officeDocument/2006/relationships/image" Target="../media/image106.emf"/><Relationship Id="rId5" Type="http://schemas.openxmlformats.org/officeDocument/2006/relationships/image" Target="../media/image64.png"/><Relationship Id="rId4" Type="http://schemas.openxmlformats.org/officeDocument/2006/relationships/image" Target="../media/image59.png"/></Relationships>
</file>

<file path=xl/drawings/_rels/vmlDrawing47.vml.rels><?xml version="1.0" encoding="UTF-8" standalone="yes"?>
<Relationships xmlns="http://schemas.openxmlformats.org/package/2006/relationships"><Relationship Id="rId3" Type="http://schemas.openxmlformats.org/officeDocument/2006/relationships/image" Target="../media/image62.wmf"/><Relationship Id="rId2" Type="http://schemas.openxmlformats.org/officeDocument/2006/relationships/image" Target="../media/image61.wmf"/><Relationship Id="rId1" Type="http://schemas.openxmlformats.org/officeDocument/2006/relationships/image" Target="../media/image60.emf"/><Relationship Id="rId5" Type="http://schemas.openxmlformats.org/officeDocument/2006/relationships/image" Target="../media/image64.png"/><Relationship Id="rId4" Type="http://schemas.openxmlformats.org/officeDocument/2006/relationships/image" Target="../media/image63.w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4.wmf"/><Relationship Id="rId2" Type="http://schemas.openxmlformats.org/officeDocument/2006/relationships/image" Target="../media/image3.wmf"/><Relationship Id="rId1" Type="http://schemas.openxmlformats.org/officeDocument/2006/relationships/image" Target="../media/image2.w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22.emf"/><Relationship Id="rId2" Type="http://schemas.openxmlformats.org/officeDocument/2006/relationships/image" Target="../media/image21.emf"/><Relationship Id="rId1" Type="http://schemas.openxmlformats.org/officeDocument/2006/relationships/image" Target="../media/image20.emf"/><Relationship Id="rId5" Type="http://schemas.openxmlformats.org/officeDocument/2006/relationships/image" Target="../media/image24.emf"/><Relationship Id="rId4"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7</xdr:col>
          <xdr:colOff>327804</xdr:colOff>
          <xdr:row>4</xdr:row>
          <xdr:rowOff>0</xdr:rowOff>
        </xdr:to>
        <xdr:sp macro="" textlink="">
          <xdr:nvSpPr>
            <xdr:cNvPr id="44034" name="Drop Down 2" hidden="1">
              <a:extLst>
                <a:ext uri="{63B3BB69-23CF-44E3-9099-C40C66FF867C}">
                  <a14:compatExt spid="_x0000_s44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7</xdr:col>
          <xdr:colOff>327804</xdr:colOff>
          <xdr:row>3</xdr:row>
          <xdr:rowOff>0</xdr:rowOff>
        </xdr:to>
        <xdr:sp macro="" textlink="">
          <xdr:nvSpPr>
            <xdr:cNvPr id="44035" name="Drop Down 3" hidden="1">
              <a:extLst>
                <a:ext uri="{63B3BB69-23CF-44E3-9099-C40C66FF867C}">
                  <a14:compatExt spid="_x0000_s44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0</xdr:rowOff>
        </xdr:from>
        <xdr:to>
          <xdr:col>10</xdr:col>
          <xdr:colOff>0</xdr:colOff>
          <xdr:row>5</xdr:row>
          <xdr:rowOff>0</xdr:rowOff>
        </xdr:to>
        <xdr:sp macro="" textlink="">
          <xdr:nvSpPr>
            <xdr:cNvPr id="44036" name="Drop Down 4" hidden="1">
              <a:extLst>
                <a:ext uri="{63B3BB69-23CF-44E3-9099-C40C66FF867C}">
                  <a14:compatExt spid="_x0000_s44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xdr:row>
          <xdr:rowOff>0</xdr:rowOff>
        </xdr:from>
        <xdr:to>
          <xdr:col>7</xdr:col>
          <xdr:colOff>327804</xdr:colOff>
          <xdr:row>2</xdr:row>
          <xdr:rowOff>0</xdr:rowOff>
        </xdr:to>
        <xdr:sp macro="" textlink="">
          <xdr:nvSpPr>
            <xdr:cNvPr id="44038" name="Drop Down 6" hidden="1">
              <a:extLst>
                <a:ext uri="{63B3BB69-23CF-44E3-9099-C40C66FF867C}">
                  <a14:compatExt spid="_x0000_s44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17253</xdr:colOff>
          <xdr:row>4</xdr:row>
          <xdr:rowOff>0</xdr:rowOff>
        </xdr:from>
        <xdr:to>
          <xdr:col>7</xdr:col>
          <xdr:colOff>327804</xdr:colOff>
          <xdr:row>5</xdr:row>
          <xdr:rowOff>0</xdr:rowOff>
        </xdr:to>
        <xdr:sp macro="" textlink="">
          <xdr:nvSpPr>
            <xdr:cNvPr id="44040" name="Drop Down 8" hidden="1">
              <a:extLst>
                <a:ext uri="{63B3BB69-23CF-44E3-9099-C40C66FF867C}">
                  <a14:compatExt spid="_x0000_s44040"/>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5</xdr:col>
      <xdr:colOff>181155</xdr:colOff>
      <xdr:row>1</xdr:row>
      <xdr:rowOff>69011</xdr:rowOff>
    </xdr:from>
    <xdr:to>
      <xdr:col>10</xdr:col>
      <xdr:colOff>569343</xdr:colOff>
      <xdr:row>5</xdr:row>
      <xdr:rowOff>207034</xdr:rowOff>
    </xdr:to>
    <xdr:pic>
      <xdr:nvPicPr>
        <xdr:cNvPr id="2048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3925" y="345057"/>
          <a:ext cx="4183811" cy="1043796"/>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60385</xdr:colOff>
      <xdr:row>3</xdr:row>
      <xdr:rowOff>25879</xdr:rowOff>
    </xdr:from>
    <xdr:to>
      <xdr:col>5</xdr:col>
      <xdr:colOff>431321</xdr:colOff>
      <xdr:row>4</xdr:row>
      <xdr:rowOff>69011</xdr:rowOff>
    </xdr:to>
    <xdr:sp macro="" textlink="">
      <xdr:nvSpPr>
        <xdr:cNvPr id="20486" name="Line 6"/>
        <xdr:cNvSpPr>
          <a:spLocks noChangeShapeType="1"/>
        </xdr:cNvSpPr>
      </xdr:nvSpPr>
      <xdr:spPr bwMode="auto">
        <a:xfrm flipH="1">
          <a:off x="3994030" y="664234"/>
          <a:ext cx="1130061" cy="31917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86264</xdr:colOff>
      <xdr:row>5</xdr:row>
      <xdr:rowOff>138023</xdr:rowOff>
    </xdr:from>
    <xdr:to>
      <xdr:col>7</xdr:col>
      <xdr:colOff>655608</xdr:colOff>
      <xdr:row>9</xdr:row>
      <xdr:rowOff>146649</xdr:rowOff>
    </xdr:to>
    <xdr:sp macro="" textlink="">
      <xdr:nvSpPr>
        <xdr:cNvPr id="20488" name="Freeform 8"/>
        <xdr:cNvSpPr>
          <a:spLocks/>
        </xdr:cNvSpPr>
      </xdr:nvSpPr>
      <xdr:spPr bwMode="auto">
        <a:xfrm>
          <a:off x="4019909" y="1319842"/>
          <a:ext cx="2846717" cy="767750"/>
        </a:xfrm>
        <a:custGeom>
          <a:avLst/>
          <a:gdLst>
            <a:gd name="T0" fmla="*/ 300 w 300"/>
            <a:gd name="T1" fmla="*/ 7 h 36"/>
            <a:gd name="T2" fmla="*/ 80 w 300"/>
            <a:gd name="T3" fmla="*/ 35 h 36"/>
            <a:gd name="T4" fmla="*/ 0 w 300"/>
            <a:gd name="T5" fmla="*/ 0 h 36"/>
          </a:gdLst>
          <a:ahLst/>
          <a:cxnLst>
            <a:cxn ang="0">
              <a:pos x="T0" y="T1"/>
            </a:cxn>
            <a:cxn ang="0">
              <a:pos x="T2" y="T3"/>
            </a:cxn>
            <a:cxn ang="0">
              <a:pos x="T4" y="T5"/>
            </a:cxn>
          </a:cxnLst>
          <a:rect l="0" t="0" r="r" b="b"/>
          <a:pathLst>
            <a:path w="300" h="36">
              <a:moveTo>
                <a:pt x="300" y="7"/>
              </a:moveTo>
              <a:cubicBezTo>
                <a:pt x="215" y="21"/>
                <a:pt x="130" y="36"/>
                <a:pt x="80" y="35"/>
              </a:cubicBezTo>
              <a:cubicBezTo>
                <a:pt x="30" y="34"/>
                <a:pt x="13" y="6"/>
                <a:pt x="0" y="0"/>
              </a:cubicBez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724619</xdr:colOff>
      <xdr:row>3</xdr:row>
      <xdr:rowOff>241540</xdr:rowOff>
    </xdr:from>
    <xdr:to>
      <xdr:col>7</xdr:col>
      <xdr:colOff>215660</xdr:colOff>
      <xdr:row>4</xdr:row>
      <xdr:rowOff>241540</xdr:rowOff>
    </xdr:to>
    <xdr:sp macro="" textlink="">
      <xdr:nvSpPr>
        <xdr:cNvPr id="20489" name="Text Box 9"/>
        <xdr:cNvSpPr txBox="1">
          <a:spLocks noChangeArrowheads="1"/>
        </xdr:cNvSpPr>
      </xdr:nvSpPr>
      <xdr:spPr bwMode="auto">
        <a:xfrm>
          <a:off x="5417389" y="879894"/>
          <a:ext cx="1009290" cy="27604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fr-FR" sz="1600" b="0" i="0" u="none" strike="noStrike" baseline="0">
              <a:solidFill>
                <a:srgbClr val="000000"/>
              </a:solidFill>
              <a:latin typeface="Arial"/>
              <a:cs typeface="Arial"/>
            </a:rPr>
            <a:t>a≤h/3</a:t>
          </a:r>
          <a:endParaRPr lang="fr-F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1</xdr:col>
          <xdr:colOff>0</xdr:colOff>
          <xdr:row>4</xdr:row>
          <xdr:rowOff>0</xdr:rowOff>
        </xdr:to>
        <xdr:sp macro="" textlink="">
          <xdr:nvSpPr>
            <xdr:cNvPr id="20492" name="Drop Down 12" hidden="1">
              <a:extLst>
                <a:ext uri="{63B3BB69-23CF-44E3-9099-C40C66FF867C}">
                  <a14:compatExt spid="_x0000_s20492"/>
                </a:ext>
              </a:extLst>
            </xdr:cNvPr>
            <xdr:cNvSpPr/>
          </xdr:nvSpPr>
          <xdr:spPr>
            <a:xfrm>
              <a:off x="0" y="0"/>
              <a:ext cx="0" cy="0"/>
            </a:xfrm>
            <a:prstGeom prst="rect">
              <a:avLst/>
            </a:prstGeom>
          </xdr:spPr>
        </xdr:sp>
        <xdr:clientData/>
      </xdr:twoCellAnchor>
    </mc:Choice>
    <mc:Fallback/>
  </mc:AlternateContent>
  <xdr:twoCellAnchor>
    <xdr:from>
      <xdr:col>3</xdr:col>
      <xdr:colOff>508958</xdr:colOff>
      <xdr:row>12</xdr:row>
      <xdr:rowOff>69011</xdr:rowOff>
    </xdr:from>
    <xdr:to>
      <xdr:col>9</xdr:col>
      <xdr:colOff>508958</xdr:colOff>
      <xdr:row>16</xdr:row>
      <xdr:rowOff>77638</xdr:rowOff>
    </xdr:to>
    <xdr:sp macro="" textlink="">
      <xdr:nvSpPr>
        <xdr:cNvPr id="20493" name="Text Box 13"/>
        <xdr:cNvSpPr txBox="1">
          <a:spLocks noChangeArrowheads="1"/>
        </xdr:cNvSpPr>
      </xdr:nvSpPr>
      <xdr:spPr bwMode="auto">
        <a:xfrm>
          <a:off x="3683479" y="2501660"/>
          <a:ext cx="4554747" cy="681487"/>
        </a:xfrm>
        <a:prstGeom prst="rect">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0" bIns="0" anchor="t" upright="1"/>
        <a:lstStyle/>
        <a:p>
          <a:pPr algn="l" rtl="0">
            <a:defRPr sz="1000"/>
          </a:pPr>
          <a:r>
            <a:rPr lang="fr-FR" sz="1200" b="1" i="0" u="none" strike="noStrike" baseline="0">
              <a:solidFill>
                <a:srgbClr val="008080"/>
              </a:solidFill>
              <a:latin typeface="Arial"/>
              <a:cs typeface="Arial"/>
            </a:rPr>
            <a:t>Interprétation "personnelle" restrictive de l'annexe nationale :</a:t>
          </a:r>
        </a:p>
        <a:p>
          <a:pPr algn="l" rtl="0">
            <a:defRPr sz="1000"/>
          </a:pPr>
          <a:r>
            <a:rPr lang="fr-FR" sz="1200" b="1" i="0" u="none" strike="noStrike" baseline="0">
              <a:solidFill>
                <a:srgbClr val="008080"/>
              </a:solidFill>
              <a:latin typeface="Arial"/>
              <a:cs typeface="Arial"/>
            </a:rPr>
            <a:t>si hauteur &gt; 200, kcy = 1.5 bois massif</a:t>
          </a:r>
        </a:p>
        <a:p>
          <a:pPr algn="l" rtl="0">
            <a:defRPr sz="1000"/>
          </a:pPr>
          <a:r>
            <a:rPr lang="fr-FR" sz="1200" b="1" i="0" u="none" strike="noStrike" baseline="0">
              <a:solidFill>
                <a:srgbClr val="008080"/>
              </a:solidFill>
              <a:latin typeface="Arial"/>
              <a:cs typeface="Arial"/>
            </a:rPr>
            <a:t>si hauteur &gt; 200, kcy = 1.75 bois lamellé collé</a:t>
          </a:r>
          <a:endParaRPr lang="fr-FR"/>
        </a:p>
      </xdr:txBody>
    </xdr:sp>
    <xdr:clientData/>
  </xdr:twoCellAnchor>
  <xdr:twoCellAnchor>
    <xdr:from>
      <xdr:col>0</xdr:col>
      <xdr:colOff>750498</xdr:colOff>
      <xdr:row>0</xdr:row>
      <xdr:rowOff>129396</xdr:rowOff>
    </xdr:from>
    <xdr:to>
      <xdr:col>6</xdr:col>
      <xdr:colOff>491706</xdr:colOff>
      <xdr:row>20</xdr:row>
      <xdr:rowOff>8626</xdr:rowOff>
    </xdr:to>
    <xdr:sp macro="" textlink="">
      <xdr:nvSpPr>
        <xdr:cNvPr id="20494" name="Line 14"/>
        <xdr:cNvSpPr>
          <a:spLocks noChangeShapeType="1"/>
        </xdr:cNvSpPr>
      </xdr:nvSpPr>
      <xdr:spPr bwMode="auto">
        <a:xfrm flipV="1">
          <a:off x="750498" y="129396"/>
          <a:ext cx="5193102" cy="365760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twoCellAnchor>
    <xdr:from>
      <xdr:col>0</xdr:col>
      <xdr:colOff>414068</xdr:colOff>
      <xdr:row>0</xdr:row>
      <xdr:rowOff>94891</xdr:rowOff>
    </xdr:from>
    <xdr:to>
      <xdr:col>6</xdr:col>
      <xdr:colOff>207034</xdr:colOff>
      <xdr:row>19</xdr:row>
      <xdr:rowOff>146649</xdr:rowOff>
    </xdr:to>
    <xdr:sp macro="" textlink="">
      <xdr:nvSpPr>
        <xdr:cNvPr id="20495" name="Line 15"/>
        <xdr:cNvSpPr>
          <a:spLocks noChangeShapeType="1"/>
        </xdr:cNvSpPr>
      </xdr:nvSpPr>
      <xdr:spPr bwMode="auto">
        <a:xfrm>
          <a:off x="414068" y="94891"/>
          <a:ext cx="5244860" cy="3666226"/>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twoCellAnchor>
    <xdr:from>
      <xdr:col>1</xdr:col>
      <xdr:colOff>129396</xdr:colOff>
      <xdr:row>5</xdr:row>
      <xdr:rowOff>69011</xdr:rowOff>
    </xdr:from>
    <xdr:to>
      <xdr:col>3</xdr:col>
      <xdr:colOff>146649</xdr:colOff>
      <xdr:row>10</xdr:row>
      <xdr:rowOff>25879</xdr:rowOff>
    </xdr:to>
    <xdr:sp macro="" textlink="">
      <xdr:nvSpPr>
        <xdr:cNvPr id="20496" name="WordArt 16"/>
        <xdr:cNvSpPr>
          <a:spLocks noChangeArrowheads="1" noChangeShapeType="1" noTextEdit="1"/>
        </xdr:cNvSpPr>
      </xdr:nvSpPr>
      <xdr:spPr bwMode="auto">
        <a:xfrm>
          <a:off x="2001328" y="1250830"/>
          <a:ext cx="1319842" cy="879895"/>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Annulé</a:t>
          </a:r>
        </a:p>
      </xdr:txBody>
    </xdr:sp>
    <xdr:clientData/>
  </xdr:twoCellAnchor>
  <xdr:twoCellAnchor editAs="oneCell">
    <xdr:from>
      <xdr:col>4</xdr:col>
      <xdr:colOff>69011</xdr:colOff>
      <xdr:row>1</xdr:row>
      <xdr:rowOff>69011</xdr:rowOff>
    </xdr:from>
    <xdr:to>
      <xdr:col>10</xdr:col>
      <xdr:colOff>681487</xdr:colOff>
      <xdr:row>23</xdr:row>
      <xdr:rowOff>138023</xdr:rowOff>
    </xdr:to>
    <xdr:pic>
      <xdr:nvPicPr>
        <xdr:cNvPr id="20497" name="Picture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2657" y="345057"/>
          <a:ext cx="5167222" cy="4063041"/>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32</xdr:col>
      <xdr:colOff>577970</xdr:colOff>
      <xdr:row>76</xdr:row>
      <xdr:rowOff>129396</xdr:rowOff>
    </xdr:from>
    <xdr:to>
      <xdr:col>40</xdr:col>
      <xdr:colOff>198408</xdr:colOff>
      <xdr:row>96</xdr:row>
      <xdr:rowOff>51758</xdr:rowOff>
    </xdr:to>
    <xdr:graphicFrame macro="">
      <xdr:nvGraphicFramePr>
        <xdr:cNvPr id="1024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181155</xdr:colOff>
      <xdr:row>2</xdr:row>
      <xdr:rowOff>34506</xdr:rowOff>
    </xdr:from>
    <xdr:to>
      <xdr:col>7</xdr:col>
      <xdr:colOff>396815</xdr:colOff>
      <xdr:row>3</xdr:row>
      <xdr:rowOff>0</xdr:rowOff>
    </xdr:to>
    <xdr:sp macro="" textlink="">
      <xdr:nvSpPr>
        <xdr:cNvPr id="10242" name="Oval 2"/>
        <xdr:cNvSpPr>
          <a:spLocks noChangeArrowheads="1"/>
        </xdr:cNvSpPr>
      </xdr:nvSpPr>
      <xdr:spPr bwMode="auto">
        <a:xfrm>
          <a:off x="5253487" y="560717"/>
          <a:ext cx="215660" cy="163902"/>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94891</xdr:colOff>
      <xdr:row>10</xdr:row>
      <xdr:rowOff>17253</xdr:rowOff>
    </xdr:from>
    <xdr:to>
      <xdr:col>5</xdr:col>
      <xdr:colOff>439947</xdr:colOff>
      <xdr:row>11</xdr:row>
      <xdr:rowOff>34506</xdr:rowOff>
    </xdr:to>
    <xdr:sp macro="" textlink="">
      <xdr:nvSpPr>
        <xdr:cNvPr id="10243" name="Oval 3"/>
        <xdr:cNvSpPr>
          <a:spLocks noChangeArrowheads="1"/>
        </xdr:cNvSpPr>
      </xdr:nvSpPr>
      <xdr:spPr bwMode="auto">
        <a:xfrm>
          <a:off x="4123426" y="2199736"/>
          <a:ext cx="345057" cy="2156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112143</xdr:colOff>
      <xdr:row>10</xdr:row>
      <xdr:rowOff>8626</xdr:rowOff>
    </xdr:from>
    <xdr:to>
      <xdr:col>7</xdr:col>
      <xdr:colOff>422694</xdr:colOff>
      <xdr:row>11</xdr:row>
      <xdr:rowOff>25879</xdr:rowOff>
    </xdr:to>
    <xdr:sp macro="" textlink="">
      <xdr:nvSpPr>
        <xdr:cNvPr id="10244" name="Oval 4"/>
        <xdr:cNvSpPr>
          <a:spLocks noChangeArrowheads="1"/>
        </xdr:cNvSpPr>
      </xdr:nvSpPr>
      <xdr:spPr bwMode="auto">
        <a:xfrm>
          <a:off x="5184475" y="2191109"/>
          <a:ext cx="310551" cy="215661"/>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36</xdr:col>
      <xdr:colOff>577970</xdr:colOff>
      <xdr:row>79</xdr:row>
      <xdr:rowOff>129396</xdr:rowOff>
    </xdr:from>
    <xdr:to>
      <xdr:col>44</xdr:col>
      <xdr:colOff>198408</xdr:colOff>
      <xdr:row>99</xdr:row>
      <xdr:rowOff>51758</xdr:rowOff>
    </xdr:to>
    <xdr:graphicFrame macro="">
      <xdr:nvGraphicFramePr>
        <xdr:cNvPr id="2560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17253</xdr:colOff>
      <xdr:row>0</xdr:row>
      <xdr:rowOff>34506</xdr:rowOff>
    </xdr:from>
    <xdr:to>
      <xdr:col>10</xdr:col>
      <xdr:colOff>534838</xdr:colOff>
      <xdr:row>6</xdr:row>
      <xdr:rowOff>86264</xdr:rowOff>
    </xdr:to>
    <xdr:pic>
      <xdr:nvPicPr>
        <xdr:cNvPr id="25605" name="Picture 5" descr="piou"/>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42936" y="34506"/>
          <a:ext cx="3191773" cy="1526875"/>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526211</xdr:colOff>
      <xdr:row>6</xdr:row>
      <xdr:rowOff>155275</xdr:rowOff>
    </xdr:from>
    <xdr:to>
      <xdr:col>10</xdr:col>
      <xdr:colOff>483079</xdr:colOff>
      <xdr:row>21</xdr:row>
      <xdr:rowOff>69011</xdr:rowOff>
    </xdr:to>
    <xdr:pic>
      <xdr:nvPicPr>
        <xdr:cNvPr id="25616" name="Picture 16" descr="a"/>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86732" y="1630392"/>
          <a:ext cx="2096219" cy="2898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448574</xdr:colOff>
      <xdr:row>19</xdr:row>
      <xdr:rowOff>120770</xdr:rowOff>
    </xdr:from>
    <xdr:to>
      <xdr:col>8</xdr:col>
      <xdr:colOff>129396</xdr:colOff>
      <xdr:row>22</xdr:row>
      <xdr:rowOff>0</xdr:rowOff>
    </xdr:to>
    <xdr:sp macro="" textlink="">
      <xdr:nvSpPr>
        <xdr:cNvPr id="25617" name="WordArt 17"/>
        <xdr:cNvSpPr>
          <a:spLocks noChangeArrowheads="1" noChangeShapeType="1" noTextEdit="1"/>
        </xdr:cNvSpPr>
      </xdr:nvSpPr>
      <xdr:spPr bwMode="auto">
        <a:xfrm>
          <a:off x="5374257" y="4183811"/>
          <a:ext cx="1285335" cy="474453"/>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exemple</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2</xdr:col>
          <xdr:colOff>793630</xdr:colOff>
          <xdr:row>1</xdr:row>
          <xdr:rowOff>319177</xdr:rowOff>
        </xdr:to>
        <xdr:sp macro="" textlink="">
          <xdr:nvSpPr>
            <xdr:cNvPr id="25621" name="Drop Down 21" hidden="1">
              <a:extLst>
                <a:ext uri="{63B3BB69-23CF-44E3-9099-C40C66FF867C}">
                  <a14:compatExt spid="_x0000_s25621"/>
                </a:ext>
              </a:extLst>
            </xdr:cNvPr>
            <xdr:cNvSpPr/>
          </xdr:nvSpPr>
          <xdr:spPr>
            <a:xfrm>
              <a:off x="0" y="0"/>
              <a:ext cx="0" cy="0"/>
            </a:xfrm>
            <a:prstGeom prst="rect">
              <a:avLst/>
            </a:prstGeom>
          </xdr:spPr>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4</xdr:col>
      <xdr:colOff>284672</xdr:colOff>
      <xdr:row>4</xdr:row>
      <xdr:rowOff>146649</xdr:rowOff>
    </xdr:from>
    <xdr:to>
      <xdr:col>7</xdr:col>
      <xdr:colOff>690113</xdr:colOff>
      <xdr:row>11</xdr:row>
      <xdr:rowOff>155275</xdr:rowOff>
    </xdr:to>
    <xdr:pic>
      <xdr:nvPicPr>
        <xdr:cNvPr id="22531"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5789" y="1138687"/>
          <a:ext cx="3597215" cy="1664898"/>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974785</xdr:colOff>
      <xdr:row>14</xdr:row>
      <xdr:rowOff>163902</xdr:rowOff>
    </xdr:from>
    <xdr:to>
      <xdr:col>4</xdr:col>
      <xdr:colOff>1388853</xdr:colOff>
      <xdr:row>21</xdr:row>
      <xdr:rowOff>8626</xdr:rowOff>
    </xdr:to>
    <xdr:pic>
      <xdr:nvPicPr>
        <xdr:cNvPr id="22532"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17653" y="3424687"/>
          <a:ext cx="1932317" cy="125083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215660</xdr:colOff>
      <xdr:row>12</xdr:row>
      <xdr:rowOff>94891</xdr:rowOff>
    </xdr:from>
    <xdr:to>
      <xdr:col>3</xdr:col>
      <xdr:colOff>759125</xdr:colOff>
      <xdr:row>19</xdr:row>
      <xdr:rowOff>34506</xdr:rowOff>
    </xdr:to>
    <xdr:sp macro="" textlink="">
      <xdr:nvSpPr>
        <xdr:cNvPr id="22533" name="Line 5"/>
        <xdr:cNvSpPr>
          <a:spLocks noChangeShapeType="1"/>
        </xdr:cNvSpPr>
      </xdr:nvSpPr>
      <xdr:spPr bwMode="auto">
        <a:xfrm>
          <a:off x="2096219" y="3010619"/>
          <a:ext cx="905773" cy="13457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51758</xdr:colOff>
      <xdr:row>16</xdr:row>
      <xdr:rowOff>103517</xdr:rowOff>
    </xdr:from>
    <xdr:to>
      <xdr:col>3</xdr:col>
      <xdr:colOff>931653</xdr:colOff>
      <xdr:row>16</xdr:row>
      <xdr:rowOff>163902</xdr:rowOff>
    </xdr:to>
    <xdr:sp macro="" textlink="">
      <xdr:nvSpPr>
        <xdr:cNvPr id="22534" name="Line 6"/>
        <xdr:cNvSpPr>
          <a:spLocks noChangeShapeType="1"/>
        </xdr:cNvSpPr>
      </xdr:nvSpPr>
      <xdr:spPr bwMode="auto">
        <a:xfrm flipV="1">
          <a:off x="2294626" y="3717985"/>
          <a:ext cx="879895" cy="603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1466491</xdr:colOff>
      <xdr:row>17</xdr:row>
      <xdr:rowOff>86264</xdr:rowOff>
    </xdr:from>
    <xdr:to>
      <xdr:col>4</xdr:col>
      <xdr:colOff>1820174</xdr:colOff>
      <xdr:row>17</xdr:row>
      <xdr:rowOff>94891</xdr:rowOff>
    </xdr:to>
    <xdr:sp macro="" textlink="">
      <xdr:nvSpPr>
        <xdr:cNvPr id="22535" name="Line 7"/>
        <xdr:cNvSpPr>
          <a:spLocks noChangeShapeType="1"/>
        </xdr:cNvSpPr>
      </xdr:nvSpPr>
      <xdr:spPr bwMode="auto">
        <a:xfrm flipV="1">
          <a:off x="5227608" y="3933645"/>
          <a:ext cx="353683" cy="86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250166</xdr:colOff>
      <xdr:row>17</xdr:row>
      <xdr:rowOff>77638</xdr:rowOff>
    </xdr:from>
    <xdr:to>
      <xdr:col>9</xdr:col>
      <xdr:colOff>276045</xdr:colOff>
      <xdr:row>18</xdr:row>
      <xdr:rowOff>146649</xdr:rowOff>
    </xdr:to>
    <xdr:sp macro="" textlink="">
      <xdr:nvSpPr>
        <xdr:cNvPr id="22536" name="WordArt 8" descr="Papier Kraft"/>
        <xdr:cNvSpPr>
          <a:spLocks noChangeArrowheads="1" noChangeShapeType="1" noTextEdit="1"/>
        </xdr:cNvSpPr>
      </xdr:nvSpPr>
      <xdr:spPr bwMode="auto">
        <a:xfrm>
          <a:off x="8005313" y="3925019"/>
          <a:ext cx="1000664" cy="301924"/>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3"/>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xdr:twoCellAnchor>
    <xdr:from>
      <xdr:col>5</xdr:col>
      <xdr:colOff>8626</xdr:colOff>
      <xdr:row>17</xdr:row>
      <xdr:rowOff>94891</xdr:rowOff>
    </xdr:from>
    <xdr:to>
      <xdr:col>6</xdr:col>
      <xdr:colOff>8626</xdr:colOff>
      <xdr:row>17</xdr:row>
      <xdr:rowOff>94891</xdr:rowOff>
    </xdr:to>
    <xdr:sp macro="" textlink="">
      <xdr:nvSpPr>
        <xdr:cNvPr id="22537" name="Line 9"/>
        <xdr:cNvSpPr>
          <a:spLocks noChangeShapeType="1"/>
        </xdr:cNvSpPr>
      </xdr:nvSpPr>
      <xdr:spPr bwMode="auto">
        <a:xfrm>
          <a:off x="5727940" y="3942272"/>
          <a:ext cx="940279"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0</xdr:colOff>
      <xdr:row>0</xdr:row>
      <xdr:rowOff>163902</xdr:rowOff>
    </xdr:from>
    <xdr:to>
      <xdr:col>4</xdr:col>
      <xdr:colOff>3528204</xdr:colOff>
      <xdr:row>10</xdr:row>
      <xdr:rowOff>43132</xdr:rowOff>
    </xdr:to>
    <xdr:pic>
      <xdr:nvPicPr>
        <xdr:cNvPr id="9217" name="Picture 1" descr="rr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6619" y="163902"/>
          <a:ext cx="3528204" cy="2130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189781</xdr:colOff>
      <xdr:row>10</xdr:row>
      <xdr:rowOff>112143</xdr:rowOff>
    </xdr:from>
    <xdr:to>
      <xdr:col>2</xdr:col>
      <xdr:colOff>207034</xdr:colOff>
      <xdr:row>10</xdr:row>
      <xdr:rowOff>112143</xdr:rowOff>
    </xdr:to>
    <xdr:sp macro="" textlink="">
      <xdr:nvSpPr>
        <xdr:cNvPr id="9221" name="Line 5"/>
        <xdr:cNvSpPr>
          <a:spLocks noChangeShapeType="1"/>
        </xdr:cNvSpPr>
      </xdr:nvSpPr>
      <xdr:spPr bwMode="auto">
        <a:xfrm>
          <a:off x="2104845" y="2363638"/>
          <a:ext cx="1725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69011</xdr:colOff>
      <xdr:row>12</xdr:row>
      <xdr:rowOff>138023</xdr:rowOff>
    </xdr:from>
    <xdr:to>
      <xdr:col>4</xdr:col>
      <xdr:colOff>3648974</xdr:colOff>
      <xdr:row>24</xdr:row>
      <xdr:rowOff>129396</xdr:rowOff>
    </xdr:to>
    <xdr:pic>
      <xdr:nvPicPr>
        <xdr:cNvPr id="9222" name="Picture 6" descr="rez"/>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65630" y="2786332"/>
          <a:ext cx="3579962" cy="2096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78</xdr:col>
      <xdr:colOff>526211</xdr:colOff>
      <xdr:row>21</xdr:row>
      <xdr:rowOff>60385</xdr:rowOff>
    </xdr:from>
    <xdr:to>
      <xdr:col>85</xdr:col>
      <xdr:colOff>163902</xdr:colOff>
      <xdr:row>41</xdr:row>
      <xdr:rowOff>43132</xdr:rowOff>
    </xdr:to>
    <xdr:graphicFrame macro="">
      <xdr:nvGraphicFramePr>
        <xdr:cNvPr id="1126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79</xdr:col>
      <xdr:colOff>345057</xdr:colOff>
      <xdr:row>44</xdr:row>
      <xdr:rowOff>163902</xdr:rowOff>
    </xdr:from>
    <xdr:to>
      <xdr:col>85</xdr:col>
      <xdr:colOff>741872</xdr:colOff>
      <xdr:row>66</xdr:row>
      <xdr:rowOff>25879</xdr:rowOff>
    </xdr:to>
    <xdr:graphicFrame macro="">
      <xdr:nvGraphicFramePr>
        <xdr:cNvPr id="1126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69011</xdr:colOff>
      <xdr:row>10</xdr:row>
      <xdr:rowOff>120770</xdr:rowOff>
    </xdr:from>
    <xdr:to>
      <xdr:col>12</xdr:col>
      <xdr:colOff>258792</xdr:colOff>
      <xdr:row>16</xdr:row>
      <xdr:rowOff>103517</xdr:rowOff>
    </xdr:to>
    <xdr:sp macro="" textlink="">
      <xdr:nvSpPr>
        <xdr:cNvPr id="11273" name="Oval 9"/>
        <xdr:cNvSpPr>
          <a:spLocks noChangeArrowheads="1"/>
        </xdr:cNvSpPr>
      </xdr:nvSpPr>
      <xdr:spPr bwMode="auto">
        <a:xfrm>
          <a:off x="5840083" y="2165230"/>
          <a:ext cx="4149306" cy="1293962"/>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45720" tIns="36576" rIns="45720" bIns="0" anchor="t" upright="1"/>
        <a:lstStyle/>
        <a:p>
          <a:pPr algn="ctr" rtl="0">
            <a:defRPr sz="1000"/>
          </a:pPr>
          <a:r>
            <a:rPr lang="fr-FR" sz="1600" b="1" i="0" u="none" strike="noStrike" baseline="0">
              <a:solidFill>
                <a:srgbClr val="000000"/>
              </a:solidFill>
              <a:latin typeface="Arial"/>
              <a:cs typeface="Arial"/>
            </a:rPr>
            <a:t>Poutres à double décroissance ou courbes</a:t>
          </a:r>
          <a:endParaRPr lang="fr-FR"/>
        </a:p>
      </xdr:txBody>
    </xdr:sp>
    <xdr:clientData/>
  </xdr:twoCellAnchor>
  <xdr:twoCellAnchor>
    <xdr:from>
      <xdr:col>4</xdr:col>
      <xdr:colOff>25879</xdr:colOff>
      <xdr:row>12</xdr:row>
      <xdr:rowOff>146649</xdr:rowOff>
    </xdr:from>
    <xdr:to>
      <xdr:col>4</xdr:col>
      <xdr:colOff>293298</xdr:colOff>
      <xdr:row>12</xdr:row>
      <xdr:rowOff>146649</xdr:rowOff>
    </xdr:to>
    <xdr:sp macro="" textlink="">
      <xdr:nvSpPr>
        <xdr:cNvPr id="11274" name="Line 10"/>
        <xdr:cNvSpPr>
          <a:spLocks noChangeShapeType="1"/>
        </xdr:cNvSpPr>
      </xdr:nvSpPr>
      <xdr:spPr bwMode="auto">
        <a:xfrm flipH="1" flipV="1">
          <a:off x="5796951" y="2596551"/>
          <a:ext cx="267419"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51758</xdr:colOff>
      <xdr:row>2</xdr:row>
      <xdr:rowOff>77638</xdr:rowOff>
    </xdr:from>
    <xdr:to>
      <xdr:col>13</xdr:col>
      <xdr:colOff>51758</xdr:colOff>
      <xdr:row>8</xdr:row>
      <xdr:rowOff>25879</xdr:rowOff>
    </xdr:to>
    <xdr:sp macro="" textlink="">
      <xdr:nvSpPr>
        <xdr:cNvPr id="11278" name="Oval 14"/>
        <xdr:cNvSpPr>
          <a:spLocks noChangeArrowheads="1"/>
        </xdr:cNvSpPr>
      </xdr:nvSpPr>
      <xdr:spPr bwMode="auto">
        <a:xfrm>
          <a:off x="5822830" y="655608"/>
          <a:ext cx="4597879" cy="124220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45720" tIns="36576" rIns="45720" bIns="0" anchor="t" upright="1"/>
        <a:lstStyle/>
        <a:p>
          <a:pPr algn="ctr" rtl="0">
            <a:defRPr sz="1000"/>
          </a:pPr>
          <a:r>
            <a:rPr lang="fr-FR" sz="1600" b="1" i="0" u="none" strike="noStrike" baseline="0">
              <a:solidFill>
                <a:srgbClr val="000000"/>
              </a:solidFill>
              <a:latin typeface="Arial"/>
              <a:cs typeface="Arial"/>
            </a:rPr>
            <a:t>Poutres à simple décroissance</a:t>
          </a:r>
          <a:endParaRPr lang="fr-FR"/>
        </a:p>
      </xdr:txBody>
    </xdr:sp>
    <xdr:clientData/>
  </xdr:twoCellAnchor>
  <xdr:twoCellAnchor>
    <xdr:from>
      <xdr:col>4</xdr:col>
      <xdr:colOff>8626</xdr:colOff>
      <xdr:row>3</xdr:row>
      <xdr:rowOff>155275</xdr:rowOff>
    </xdr:from>
    <xdr:to>
      <xdr:col>4</xdr:col>
      <xdr:colOff>319177</xdr:colOff>
      <xdr:row>4</xdr:row>
      <xdr:rowOff>60385</xdr:rowOff>
    </xdr:to>
    <xdr:sp macro="" textlink="">
      <xdr:nvSpPr>
        <xdr:cNvPr id="11279" name="Line 15"/>
        <xdr:cNvSpPr>
          <a:spLocks noChangeShapeType="1"/>
        </xdr:cNvSpPr>
      </xdr:nvSpPr>
      <xdr:spPr bwMode="auto">
        <a:xfrm flipH="1" flipV="1">
          <a:off x="5779698" y="931653"/>
          <a:ext cx="310551" cy="103517"/>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1932317</xdr:colOff>
      <xdr:row>11</xdr:row>
      <xdr:rowOff>8626</xdr:rowOff>
    </xdr:from>
    <xdr:to>
      <xdr:col>4</xdr:col>
      <xdr:colOff>207034</xdr:colOff>
      <xdr:row>13</xdr:row>
      <xdr:rowOff>129396</xdr:rowOff>
    </xdr:to>
    <xdr:sp macro="" textlink="">
      <xdr:nvSpPr>
        <xdr:cNvPr id="11280" name="Line 16"/>
        <xdr:cNvSpPr>
          <a:spLocks noChangeShapeType="1"/>
        </xdr:cNvSpPr>
      </xdr:nvSpPr>
      <xdr:spPr bwMode="auto">
        <a:xfrm flipH="1">
          <a:off x="5098211" y="2234242"/>
          <a:ext cx="879895" cy="5693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6</xdr:col>
          <xdr:colOff>224287</xdr:colOff>
          <xdr:row>4</xdr:row>
          <xdr:rowOff>103517</xdr:rowOff>
        </xdr:from>
        <xdr:to>
          <xdr:col>11</xdr:col>
          <xdr:colOff>336430</xdr:colOff>
          <xdr:row>7</xdr:row>
          <xdr:rowOff>34506</xdr:rowOff>
        </xdr:to>
        <xdr:sp macro="" textlink="">
          <xdr:nvSpPr>
            <xdr:cNvPr id="11282" name="Object 18" hidden="1">
              <a:extLst>
                <a:ext uri="{63B3BB69-23CF-44E3-9099-C40C66FF867C}">
                  <a14:compatExt spid="_x0000_s11282"/>
                </a:ext>
              </a:extLst>
            </xdr:cNvPr>
            <xdr:cNvSpPr/>
          </xdr:nvSpPr>
          <xdr:spPr>
            <a:xfrm>
              <a:off x="0" y="0"/>
              <a:ext cx="0" cy="0"/>
            </a:xfrm>
            <a:prstGeom prst="rect">
              <a:avLst/>
            </a:prstGeom>
          </xdr:spPr>
        </xdr:sp>
        <xdr:clientData/>
      </xdr:twoCellAnchor>
    </mc:Choice>
    <mc:Fallback/>
  </mc:AlternateContent>
  <xdr:twoCellAnchor>
    <xdr:from>
      <xdr:col>5</xdr:col>
      <xdr:colOff>405442</xdr:colOff>
      <xdr:row>13</xdr:row>
      <xdr:rowOff>189781</xdr:rowOff>
    </xdr:from>
    <xdr:to>
      <xdr:col>8</xdr:col>
      <xdr:colOff>284672</xdr:colOff>
      <xdr:row>16</xdr:row>
      <xdr:rowOff>8626</xdr:rowOff>
    </xdr:to>
    <xdr:pic>
      <xdr:nvPicPr>
        <xdr:cNvPr id="11283" name="Picture 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50966" y="2863970"/>
          <a:ext cx="1302589" cy="500332"/>
        </a:xfrm>
        <a:prstGeom prst="rect">
          <a:avLst/>
        </a:prstGeom>
        <a:noFill/>
        <a:ln>
          <a:noFill/>
        </a:ln>
        <a:effectLst/>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8</xdr:col>
      <xdr:colOff>345057</xdr:colOff>
      <xdr:row>13</xdr:row>
      <xdr:rowOff>172528</xdr:rowOff>
    </xdr:from>
    <xdr:to>
      <xdr:col>11</xdr:col>
      <xdr:colOff>276045</xdr:colOff>
      <xdr:row>15</xdr:row>
      <xdr:rowOff>224287</xdr:rowOff>
    </xdr:to>
    <xdr:pic>
      <xdr:nvPicPr>
        <xdr:cNvPr id="11285" name="Picture 2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13940" y="2846717"/>
          <a:ext cx="1354347" cy="500332"/>
        </a:xfrm>
        <a:prstGeom prst="rect">
          <a:avLst/>
        </a:prstGeom>
        <a:noFill/>
        <a:ln>
          <a:noFill/>
        </a:ln>
        <a:effectLst/>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17253</xdr:colOff>
      <xdr:row>0</xdr:row>
      <xdr:rowOff>25879</xdr:rowOff>
    </xdr:from>
    <xdr:to>
      <xdr:col>10</xdr:col>
      <xdr:colOff>370936</xdr:colOff>
      <xdr:row>15</xdr:row>
      <xdr:rowOff>17253</xdr:rowOff>
    </xdr:to>
    <xdr:pic>
      <xdr:nvPicPr>
        <xdr:cNvPr id="4097" name="Picture 1" descr="ASSCLOU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9772"/>
        <a:stretch>
          <a:fillRect/>
        </a:stretch>
      </xdr:blipFill>
      <xdr:spPr bwMode="auto">
        <a:xfrm>
          <a:off x="4787660" y="25879"/>
          <a:ext cx="4658265" cy="2553419"/>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51758</xdr:colOff>
      <xdr:row>19</xdr:row>
      <xdr:rowOff>163902</xdr:rowOff>
    </xdr:from>
    <xdr:to>
      <xdr:col>10</xdr:col>
      <xdr:colOff>405442</xdr:colOff>
      <xdr:row>26</xdr:row>
      <xdr:rowOff>34506</xdr:rowOff>
    </xdr:to>
    <xdr:pic>
      <xdr:nvPicPr>
        <xdr:cNvPr id="4105" name="Picture 9" descr="a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08498" y="3554083"/>
          <a:ext cx="1871932" cy="1285336"/>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25879</xdr:colOff>
          <xdr:row>1</xdr:row>
          <xdr:rowOff>25879</xdr:rowOff>
        </xdr:from>
        <xdr:to>
          <xdr:col>4</xdr:col>
          <xdr:colOff>672860</xdr:colOff>
          <xdr:row>1</xdr:row>
          <xdr:rowOff>241540</xdr:rowOff>
        </xdr:to>
        <xdr:sp macro="" textlink="">
          <xdr:nvSpPr>
            <xdr:cNvPr id="4117" name="Drop Down 21" hidden="1">
              <a:extLst>
                <a:ext uri="{63B3BB69-23CF-44E3-9099-C40C66FF867C}">
                  <a14:compatExt spid="_x0000_s4117"/>
                </a:ext>
              </a:extLst>
            </xdr:cNvPr>
            <xdr:cNvSpPr/>
          </xdr:nvSpPr>
          <xdr:spPr>
            <a:xfrm>
              <a:off x="0" y="0"/>
              <a:ext cx="0" cy="0"/>
            </a:xfrm>
            <a:prstGeom prst="rect">
              <a:avLst/>
            </a:prstGeom>
          </xdr:spPr>
        </xdr:sp>
        <xdr:clientData/>
      </xdr:twoCellAnchor>
    </mc:Choice>
    <mc:Fallback/>
  </mc:AlternateContent>
  <xdr:twoCellAnchor>
    <xdr:from>
      <xdr:col>8</xdr:col>
      <xdr:colOff>86264</xdr:colOff>
      <xdr:row>18</xdr:row>
      <xdr:rowOff>129396</xdr:rowOff>
    </xdr:from>
    <xdr:to>
      <xdr:col>10</xdr:col>
      <xdr:colOff>370936</xdr:colOff>
      <xdr:row>19</xdr:row>
      <xdr:rowOff>86264</xdr:rowOff>
    </xdr:to>
    <xdr:sp macro="" textlink="">
      <xdr:nvSpPr>
        <xdr:cNvPr id="4118" name="AutoShape 22"/>
        <xdr:cNvSpPr>
          <a:spLocks noChangeArrowheads="1"/>
        </xdr:cNvSpPr>
      </xdr:nvSpPr>
      <xdr:spPr bwMode="auto">
        <a:xfrm>
          <a:off x="7643004" y="3312543"/>
          <a:ext cx="1802921" cy="163902"/>
        </a:xfrm>
        <a:prstGeom prst="wedgeRectCallout">
          <a:avLst>
            <a:gd name="adj1" fmla="val 26315"/>
            <a:gd name="adj2" fmla="val 1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fr-FR" sz="1000" b="1" i="0" u="none" strike="noStrike" baseline="0">
              <a:solidFill>
                <a:srgbClr val="000000"/>
              </a:solidFill>
              <a:latin typeface="Verdana"/>
              <a:ea typeface="Verdana"/>
              <a:cs typeface="Verdana"/>
            </a:rPr>
            <a:t>COURONNE DE BOULONS</a:t>
          </a:r>
          <a:endParaRPr lang="fr-F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xdr:row>
      <xdr:rowOff>172528</xdr:rowOff>
    </xdr:from>
    <xdr:to>
      <xdr:col>7</xdr:col>
      <xdr:colOff>345057</xdr:colOff>
      <xdr:row>5</xdr:row>
      <xdr:rowOff>172528</xdr:rowOff>
    </xdr:to>
    <xdr:sp macro="" textlink="">
      <xdr:nvSpPr>
        <xdr:cNvPr id="1025" name="Oval 1"/>
        <xdr:cNvSpPr>
          <a:spLocks noChangeArrowheads="1"/>
        </xdr:cNvSpPr>
      </xdr:nvSpPr>
      <xdr:spPr bwMode="auto">
        <a:xfrm>
          <a:off x="6581955" y="664234"/>
          <a:ext cx="2544792" cy="56934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27432" rIns="36576" bIns="0" anchor="t" upright="1"/>
        <a:lstStyle/>
        <a:p>
          <a:pPr algn="ctr" rtl="0">
            <a:defRPr sz="1000"/>
          </a:pPr>
          <a:r>
            <a:rPr lang="fr-FR" sz="1100" b="1" i="0" u="none" strike="noStrike" baseline="0">
              <a:solidFill>
                <a:srgbClr val="FF0000"/>
              </a:solidFill>
              <a:latin typeface="Arial"/>
              <a:cs typeface="Arial"/>
            </a:rPr>
            <a:t>Entrer les données dans la partie grise</a:t>
          </a:r>
          <a:endParaRPr lang="fr-FR"/>
        </a:p>
      </xdr:txBody>
    </xdr:sp>
    <xdr:clientData/>
  </xdr:twoCellAnchor>
  <xdr:twoCellAnchor>
    <xdr:from>
      <xdr:col>3</xdr:col>
      <xdr:colOff>1293962</xdr:colOff>
      <xdr:row>4</xdr:row>
      <xdr:rowOff>103517</xdr:rowOff>
    </xdr:from>
    <xdr:to>
      <xdr:col>5</xdr:col>
      <xdr:colOff>112143</xdr:colOff>
      <xdr:row>5</xdr:row>
      <xdr:rowOff>94891</xdr:rowOff>
    </xdr:to>
    <xdr:sp macro="" textlink="">
      <xdr:nvSpPr>
        <xdr:cNvPr id="1026" name="Line 2"/>
        <xdr:cNvSpPr>
          <a:spLocks noChangeShapeType="1"/>
        </xdr:cNvSpPr>
      </xdr:nvSpPr>
      <xdr:spPr bwMode="auto">
        <a:xfrm flipH="1">
          <a:off x="5141343" y="974785"/>
          <a:ext cx="1552755" cy="18115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0</xdr:colOff>
          <xdr:row>1</xdr:row>
          <xdr:rowOff>8626</xdr:rowOff>
        </xdr:from>
        <xdr:to>
          <xdr:col>4</xdr:col>
          <xdr:colOff>1431985</xdr:colOff>
          <xdr:row>2</xdr:row>
          <xdr:rowOff>8626</xdr:rowOff>
        </xdr:to>
        <xdr:sp macro="" textlink="">
          <xdr:nvSpPr>
            <xdr:cNvPr id="1035" name="Drop Down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1431985</xdr:colOff>
          <xdr:row>3</xdr:row>
          <xdr:rowOff>8626</xdr:rowOff>
        </xdr:to>
        <xdr:sp macro="" textlink="">
          <xdr:nvSpPr>
            <xdr:cNvPr id="1036" name="Drop Down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43132</xdr:colOff>
          <xdr:row>12</xdr:row>
          <xdr:rowOff>77638</xdr:rowOff>
        </xdr:from>
        <xdr:to>
          <xdr:col>7</xdr:col>
          <xdr:colOff>586596</xdr:colOff>
          <xdr:row>15</xdr:row>
          <xdr:rowOff>86264</xdr:rowOff>
        </xdr:to>
        <xdr:sp macro="" textlink="">
          <xdr:nvSpPr>
            <xdr:cNvPr id="1038" name="Object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5</xdr:col>
      <xdr:colOff>215660</xdr:colOff>
      <xdr:row>3</xdr:row>
      <xdr:rowOff>34506</xdr:rowOff>
    </xdr:from>
    <xdr:to>
      <xdr:col>7</xdr:col>
      <xdr:colOff>336430</xdr:colOff>
      <xdr:row>6</xdr:row>
      <xdr:rowOff>34506</xdr:rowOff>
    </xdr:to>
    <xdr:sp macro="" textlink="">
      <xdr:nvSpPr>
        <xdr:cNvPr id="2049" name="Oval 1"/>
        <xdr:cNvSpPr>
          <a:spLocks noChangeArrowheads="1"/>
        </xdr:cNvSpPr>
      </xdr:nvSpPr>
      <xdr:spPr bwMode="auto">
        <a:xfrm>
          <a:off x="7159925" y="655608"/>
          <a:ext cx="2122098" cy="56934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27432" rIns="36576" bIns="0" anchor="t" upright="1"/>
        <a:lstStyle/>
        <a:p>
          <a:pPr algn="ctr" rtl="0">
            <a:defRPr sz="1000"/>
          </a:pPr>
          <a:r>
            <a:rPr lang="fr-FR" sz="1100" b="1" i="0" u="none" strike="noStrike" baseline="0">
              <a:solidFill>
                <a:srgbClr val="FF0000"/>
              </a:solidFill>
              <a:latin typeface="Arial"/>
              <a:cs typeface="Arial"/>
            </a:rPr>
            <a:t>Entrer les données dans la partie grise</a:t>
          </a:r>
          <a:endParaRPr lang="fr-FR"/>
        </a:p>
      </xdr:txBody>
    </xdr:sp>
    <xdr:clientData/>
  </xdr:twoCellAnchor>
  <xdr:twoCellAnchor>
    <xdr:from>
      <xdr:col>3</xdr:col>
      <xdr:colOff>1268083</xdr:colOff>
      <xdr:row>4</xdr:row>
      <xdr:rowOff>155275</xdr:rowOff>
    </xdr:from>
    <xdr:to>
      <xdr:col>5</xdr:col>
      <xdr:colOff>224287</xdr:colOff>
      <xdr:row>6</xdr:row>
      <xdr:rowOff>51758</xdr:rowOff>
    </xdr:to>
    <xdr:sp macro="" textlink="">
      <xdr:nvSpPr>
        <xdr:cNvPr id="2050" name="Line 2"/>
        <xdr:cNvSpPr>
          <a:spLocks noChangeShapeType="1"/>
        </xdr:cNvSpPr>
      </xdr:nvSpPr>
      <xdr:spPr bwMode="auto">
        <a:xfrm flipH="1">
          <a:off x="5589917" y="966158"/>
          <a:ext cx="1578634" cy="276046"/>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5</xdr:col>
          <xdr:colOff>698740</xdr:colOff>
          <xdr:row>13</xdr:row>
          <xdr:rowOff>86264</xdr:rowOff>
        </xdr:from>
        <xdr:to>
          <xdr:col>7</xdr:col>
          <xdr:colOff>284672</xdr:colOff>
          <xdr:row>16</xdr:row>
          <xdr:rowOff>120770</xdr:rowOff>
        </xdr:to>
        <xdr:sp macro="" textlink="">
          <xdr:nvSpPr>
            <xdr:cNvPr id="2056" name="Object 8" hidden="1">
              <a:extLst>
                <a:ext uri="{63B3BB69-23CF-44E3-9099-C40C66FF867C}">
                  <a14:compatExt spid="_x0000_s2056"/>
                </a:ext>
              </a:extLst>
            </xdr:cNvPr>
            <xdr:cNvSpPr/>
          </xdr:nvSpPr>
          <xdr:spPr>
            <a:xfrm>
              <a:off x="0" y="0"/>
              <a:ext cx="0" cy="0"/>
            </a:xfrm>
            <a:prstGeom prst="rect">
              <a:avLst/>
            </a:prstGeom>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4</xdr:col>
      <xdr:colOff>1345721</xdr:colOff>
      <xdr:row>2</xdr:row>
      <xdr:rowOff>172528</xdr:rowOff>
    </xdr:from>
    <xdr:to>
      <xdr:col>5</xdr:col>
      <xdr:colOff>1802921</xdr:colOff>
      <xdr:row>7</xdr:row>
      <xdr:rowOff>0</xdr:rowOff>
    </xdr:to>
    <xdr:sp macro="" textlink="">
      <xdr:nvSpPr>
        <xdr:cNvPr id="6145" name="Oval 1"/>
        <xdr:cNvSpPr>
          <a:spLocks noChangeArrowheads="1"/>
        </xdr:cNvSpPr>
      </xdr:nvSpPr>
      <xdr:spPr bwMode="auto">
        <a:xfrm>
          <a:off x="7668883" y="672860"/>
          <a:ext cx="1915064" cy="776378"/>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27432" rIns="36576" bIns="0" anchor="t" upright="1"/>
        <a:lstStyle/>
        <a:p>
          <a:pPr algn="ctr" rtl="0">
            <a:defRPr sz="1000"/>
          </a:pPr>
          <a:r>
            <a:rPr lang="fr-FR" sz="1100" b="1" i="0" u="none" strike="noStrike" baseline="0">
              <a:solidFill>
                <a:srgbClr val="FF0000"/>
              </a:solidFill>
              <a:latin typeface="Arial"/>
              <a:cs typeface="Arial"/>
            </a:rPr>
            <a:t>Entrer les données dans la partie grise</a:t>
          </a:r>
          <a:endParaRPr lang="fr-FR"/>
        </a:p>
      </xdr:txBody>
    </xdr:sp>
    <xdr:clientData/>
  </xdr:twoCellAnchor>
  <xdr:twoCellAnchor>
    <xdr:from>
      <xdr:col>3</xdr:col>
      <xdr:colOff>1138687</xdr:colOff>
      <xdr:row>4</xdr:row>
      <xdr:rowOff>86264</xdr:rowOff>
    </xdr:from>
    <xdr:to>
      <xdr:col>4</xdr:col>
      <xdr:colOff>1337094</xdr:colOff>
      <xdr:row>4</xdr:row>
      <xdr:rowOff>181155</xdr:rowOff>
    </xdr:to>
    <xdr:sp macro="" textlink="">
      <xdr:nvSpPr>
        <xdr:cNvPr id="6146" name="Line 2"/>
        <xdr:cNvSpPr>
          <a:spLocks noChangeShapeType="1"/>
        </xdr:cNvSpPr>
      </xdr:nvSpPr>
      <xdr:spPr bwMode="auto">
        <a:xfrm flipH="1" flipV="1">
          <a:off x="6167887" y="966158"/>
          <a:ext cx="1492370" cy="94891"/>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xdr:col>
          <xdr:colOff>17253</xdr:colOff>
          <xdr:row>21</xdr:row>
          <xdr:rowOff>17253</xdr:rowOff>
        </xdr:from>
        <xdr:to>
          <xdr:col>4</xdr:col>
          <xdr:colOff>310551</xdr:colOff>
          <xdr:row>24</xdr:row>
          <xdr:rowOff>60385</xdr:rowOff>
        </xdr:to>
        <xdr:sp macro="" textlink="">
          <xdr:nvSpPr>
            <xdr:cNvPr id="6151" name="Object 7" hidden="1">
              <a:extLst>
                <a:ext uri="{63B3BB69-23CF-44E3-9099-C40C66FF867C}">
                  <a14:compatExt spid="_x0000_s61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6</xdr:col>
          <xdr:colOff>276045</xdr:colOff>
          <xdr:row>3</xdr:row>
          <xdr:rowOff>0</xdr:rowOff>
        </xdr:to>
        <xdr:sp macro="" textlink="">
          <xdr:nvSpPr>
            <xdr:cNvPr id="45057" name="Drop Down 1" hidden="1">
              <a:extLst>
                <a:ext uri="{63B3BB69-23CF-44E3-9099-C40C66FF867C}">
                  <a14:compatExt spid="_x0000_s45057"/>
                </a:ext>
              </a:extLst>
            </xdr:cNvPr>
            <xdr:cNvSpPr/>
          </xdr:nvSpPr>
          <xdr:spPr>
            <a:xfrm>
              <a:off x="0" y="0"/>
              <a:ext cx="0" cy="0"/>
            </a:xfrm>
            <a:prstGeom prst="rect">
              <a:avLst/>
            </a:prstGeom>
          </xdr:spPr>
        </xdr:sp>
        <xdr:clientData/>
      </xdr:twoCellAnchor>
    </mc:Choice>
    <mc:Fallback/>
  </mc:AlternateContent>
  <xdr:twoCellAnchor>
    <xdr:from>
      <xdr:col>2</xdr:col>
      <xdr:colOff>0</xdr:colOff>
      <xdr:row>5</xdr:row>
      <xdr:rowOff>0</xdr:rowOff>
    </xdr:from>
    <xdr:to>
      <xdr:col>3</xdr:col>
      <xdr:colOff>0</xdr:colOff>
      <xdr:row>6</xdr:row>
      <xdr:rowOff>0</xdr:rowOff>
    </xdr:to>
    <xdr:sp macro="" textlink="">
      <xdr:nvSpPr>
        <xdr:cNvPr id="45058" name="Line 2"/>
        <xdr:cNvSpPr>
          <a:spLocks noChangeShapeType="1"/>
        </xdr:cNvSpPr>
      </xdr:nvSpPr>
      <xdr:spPr bwMode="auto">
        <a:xfrm flipV="1">
          <a:off x="1026543" y="1207698"/>
          <a:ext cx="301925" cy="215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xdr:row>
      <xdr:rowOff>0</xdr:rowOff>
    </xdr:from>
    <xdr:to>
      <xdr:col>3</xdr:col>
      <xdr:colOff>8626</xdr:colOff>
      <xdr:row>6</xdr:row>
      <xdr:rowOff>0</xdr:rowOff>
    </xdr:to>
    <xdr:sp macro="" textlink="">
      <xdr:nvSpPr>
        <xdr:cNvPr id="45059" name="Line 3"/>
        <xdr:cNvSpPr>
          <a:spLocks noChangeShapeType="1"/>
        </xdr:cNvSpPr>
      </xdr:nvSpPr>
      <xdr:spPr bwMode="auto">
        <a:xfrm>
          <a:off x="1026543" y="1207698"/>
          <a:ext cx="310551" cy="215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1380226</xdr:colOff>
      <xdr:row>2</xdr:row>
      <xdr:rowOff>181155</xdr:rowOff>
    </xdr:from>
    <xdr:to>
      <xdr:col>5</xdr:col>
      <xdr:colOff>1837426</xdr:colOff>
      <xdr:row>6</xdr:row>
      <xdr:rowOff>60385</xdr:rowOff>
    </xdr:to>
    <xdr:sp macro="" textlink="">
      <xdr:nvSpPr>
        <xdr:cNvPr id="5121" name="Oval 1"/>
        <xdr:cNvSpPr>
          <a:spLocks noChangeArrowheads="1"/>
        </xdr:cNvSpPr>
      </xdr:nvSpPr>
      <xdr:spPr bwMode="auto">
        <a:xfrm>
          <a:off x="7875917" y="681487"/>
          <a:ext cx="2027208" cy="63835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27432" rIns="36576" bIns="0" anchor="t" upright="1"/>
        <a:lstStyle/>
        <a:p>
          <a:pPr algn="ctr" rtl="0">
            <a:defRPr sz="1000"/>
          </a:pPr>
          <a:r>
            <a:rPr lang="fr-FR" sz="1100" b="1" i="0" u="none" strike="noStrike" baseline="0">
              <a:solidFill>
                <a:srgbClr val="FF0000"/>
              </a:solidFill>
              <a:latin typeface="Arial"/>
              <a:cs typeface="Arial"/>
            </a:rPr>
            <a:t>Entrer les données dans la partie grise</a:t>
          </a:r>
          <a:endParaRPr lang="fr-FR"/>
        </a:p>
      </xdr:txBody>
    </xdr:sp>
    <xdr:clientData/>
  </xdr:twoCellAnchor>
  <xdr:twoCellAnchor>
    <xdr:from>
      <xdr:col>3</xdr:col>
      <xdr:colOff>1121434</xdr:colOff>
      <xdr:row>4</xdr:row>
      <xdr:rowOff>86264</xdr:rowOff>
    </xdr:from>
    <xdr:to>
      <xdr:col>4</xdr:col>
      <xdr:colOff>1406106</xdr:colOff>
      <xdr:row>4</xdr:row>
      <xdr:rowOff>112143</xdr:rowOff>
    </xdr:to>
    <xdr:sp macro="" textlink="">
      <xdr:nvSpPr>
        <xdr:cNvPr id="5122" name="Line 2"/>
        <xdr:cNvSpPr>
          <a:spLocks noChangeShapeType="1"/>
        </xdr:cNvSpPr>
      </xdr:nvSpPr>
      <xdr:spPr bwMode="auto">
        <a:xfrm flipH="1" flipV="1">
          <a:off x="6305909" y="966158"/>
          <a:ext cx="1595887" cy="258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250166</xdr:colOff>
          <xdr:row>16</xdr:row>
          <xdr:rowOff>0</xdr:rowOff>
        </xdr:from>
        <xdr:to>
          <xdr:col>5</xdr:col>
          <xdr:colOff>267419</xdr:colOff>
          <xdr:row>19</xdr:row>
          <xdr:rowOff>51758</xdr:rowOff>
        </xdr:to>
        <xdr:sp macro="" textlink="">
          <xdr:nvSpPr>
            <xdr:cNvPr id="5128" name="Object 8" hidden="1">
              <a:extLst>
                <a:ext uri="{63B3BB69-23CF-44E3-9099-C40C66FF867C}">
                  <a14:compatExt spid="_x0000_s5128"/>
                </a:ext>
              </a:extLst>
            </xdr:cNvPr>
            <xdr:cNvSpPr/>
          </xdr:nvSpPr>
          <xdr:spPr>
            <a:xfrm>
              <a:off x="0" y="0"/>
              <a:ext cx="0" cy="0"/>
            </a:xfrm>
            <a:prstGeom prst="rect">
              <a:avLst/>
            </a:prstGeom>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4</xdr:col>
      <xdr:colOff>1380226</xdr:colOff>
      <xdr:row>3</xdr:row>
      <xdr:rowOff>17253</xdr:rowOff>
    </xdr:from>
    <xdr:to>
      <xdr:col>5</xdr:col>
      <xdr:colOff>1768415</xdr:colOff>
      <xdr:row>7</xdr:row>
      <xdr:rowOff>129396</xdr:rowOff>
    </xdr:to>
    <xdr:sp macro="" textlink="">
      <xdr:nvSpPr>
        <xdr:cNvPr id="7169" name="Oval 1"/>
        <xdr:cNvSpPr>
          <a:spLocks noChangeArrowheads="1"/>
        </xdr:cNvSpPr>
      </xdr:nvSpPr>
      <xdr:spPr bwMode="auto">
        <a:xfrm>
          <a:off x="7668883" y="707366"/>
          <a:ext cx="1915064" cy="871268"/>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27432" rIns="36576" bIns="0" anchor="t" upright="1"/>
        <a:lstStyle/>
        <a:p>
          <a:pPr algn="ctr" rtl="0">
            <a:defRPr sz="1000"/>
          </a:pPr>
          <a:r>
            <a:rPr lang="fr-FR" sz="1100" b="1" i="0" u="none" strike="noStrike" baseline="0">
              <a:solidFill>
                <a:srgbClr val="FF0000"/>
              </a:solidFill>
              <a:latin typeface="Arial"/>
              <a:cs typeface="Arial"/>
            </a:rPr>
            <a:t>Entrer les données dans la partie grise</a:t>
          </a:r>
          <a:endParaRPr lang="fr-FR"/>
        </a:p>
      </xdr:txBody>
    </xdr:sp>
    <xdr:clientData/>
  </xdr:twoCellAnchor>
  <xdr:twoCellAnchor>
    <xdr:from>
      <xdr:col>3</xdr:col>
      <xdr:colOff>1181819</xdr:colOff>
      <xdr:row>4</xdr:row>
      <xdr:rowOff>86264</xdr:rowOff>
    </xdr:from>
    <xdr:to>
      <xdr:col>4</xdr:col>
      <xdr:colOff>1345721</xdr:colOff>
      <xdr:row>5</xdr:row>
      <xdr:rowOff>51758</xdr:rowOff>
    </xdr:to>
    <xdr:sp macro="" textlink="">
      <xdr:nvSpPr>
        <xdr:cNvPr id="7170" name="Line 2"/>
        <xdr:cNvSpPr>
          <a:spLocks noChangeShapeType="1"/>
        </xdr:cNvSpPr>
      </xdr:nvSpPr>
      <xdr:spPr bwMode="auto">
        <a:xfrm flipH="1" flipV="1">
          <a:off x="6159260" y="966158"/>
          <a:ext cx="1475117" cy="155276"/>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xdr:col>
          <xdr:colOff>258792</xdr:colOff>
          <xdr:row>20</xdr:row>
          <xdr:rowOff>43132</xdr:rowOff>
        </xdr:from>
        <xdr:to>
          <xdr:col>3</xdr:col>
          <xdr:colOff>612475</xdr:colOff>
          <xdr:row>23</xdr:row>
          <xdr:rowOff>77638</xdr:rowOff>
        </xdr:to>
        <xdr:sp macro="" textlink="">
          <xdr:nvSpPr>
            <xdr:cNvPr id="7178" name="Object 10" hidden="1">
              <a:extLst>
                <a:ext uri="{63B3BB69-23CF-44E3-9099-C40C66FF867C}">
                  <a14:compatExt spid="_x0000_s7178"/>
                </a:ext>
              </a:extLst>
            </xdr:cNvPr>
            <xdr:cNvSpPr/>
          </xdr:nvSpPr>
          <xdr:spPr>
            <a:xfrm>
              <a:off x="0" y="0"/>
              <a:ext cx="0" cy="0"/>
            </a:xfrm>
            <a:prstGeom prst="rect">
              <a:avLst/>
            </a:prstGeom>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690113</xdr:colOff>
      <xdr:row>11</xdr:row>
      <xdr:rowOff>69011</xdr:rowOff>
    </xdr:to>
    <xdr:pic>
      <xdr:nvPicPr>
        <xdr:cNvPr id="17409" name="Picture 1" descr="ASSCLOU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9772"/>
        <a:stretch>
          <a:fillRect/>
        </a:stretch>
      </xdr:blipFill>
      <xdr:spPr bwMode="auto">
        <a:xfrm>
          <a:off x="0" y="0"/>
          <a:ext cx="4873925" cy="2113472"/>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4</xdr:col>
      <xdr:colOff>301925</xdr:colOff>
      <xdr:row>0</xdr:row>
      <xdr:rowOff>69011</xdr:rowOff>
    </xdr:from>
    <xdr:to>
      <xdr:col>11</xdr:col>
      <xdr:colOff>681487</xdr:colOff>
      <xdr:row>19</xdr:row>
      <xdr:rowOff>146649</xdr:rowOff>
    </xdr:to>
    <xdr:pic>
      <xdr:nvPicPr>
        <xdr:cNvPr id="18433" name="Picture 1" descr="ASSCLOU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9772"/>
        <a:stretch>
          <a:fillRect/>
        </a:stretch>
      </xdr:blipFill>
      <xdr:spPr bwMode="auto">
        <a:xfrm>
          <a:off x="3459192" y="69011"/>
          <a:ext cx="6478438" cy="2958861"/>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1250830</xdr:colOff>
      <xdr:row>3</xdr:row>
      <xdr:rowOff>146649</xdr:rowOff>
    </xdr:from>
    <xdr:to>
      <xdr:col>7</xdr:col>
      <xdr:colOff>94891</xdr:colOff>
      <xdr:row>6</xdr:row>
      <xdr:rowOff>69011</xdr:rowOff>
    </xdr:to>
    <xdr:sp macro="" textlink="">
      <xdr:nvSpPr>
        <xdr:cNvPr id="13313" name="Oval 1"/>
        <xdr:cNvSpPr>
          <a:spLocks noChangeArrowheads="1"/>
        </xdr:cNvSpPr>
      </xdr:nvSpPr>
      <xdr:spPr bwMode="auto">
        <a:xfrm>
          <a:off x="6840747" y="569343"/>
          <a:ext cx="2863970" cy="491706"/>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22860" rIns="27432" bIns="0" anchor="t" upright="1"/>
        <a:lstStyle/>
        <a:p>
          <a:pPr algn="ctr" rtl="0">
            <a:defRPr sz="1000"/>
          </a:pPr>
          <a:r>
            <a:rPr lang="fr-FR" sz="900" b="1" i="0" u="none" strike="noStrike" baseline="0">
              <a:solidFill>
                <a:srgbClr val="FF0000"/>
              </a:solidFill>
              <a:latin typeface="Arial"/>
              <a:cs typeface="Arial"/>
            </a:rPr>
            <a:t>Entrer les données dans la partie grise</a:t>
          </a:r>
          <a:endParaRPr lang="fr-FR"/>
        </a:p>
      </xdr:txBody>
    </xdr:sp>
    <xdr:clientData/>
  </xdr:twoCellAnchor>
  <xdr:twoCellAnchor>
    <xdr:from>
      <xdr:col>4</xdr:col>
      <xdr:colOff>25879</xdr:colOff>
      <xdr:row>6</xdr:row>
      <xdr:rowOff>25879</xdr:rowOff>
    </xdr:from>
    <xdr:to>
      <xdr:col>4</xdr:col>
      <xdr:colOff>1311215</xdr:colOff>
      <xdr:row>9</xdr:row>
      <xdr:rowOff>0</xdr:rowOff>
    </xdr:to>
    <xdr:sp macro="" textlink="">
      <xdr:nvSpPr>
        <xdr:cNvPr id="13314" name="Line 2"/>
        <xdr:cNvSpPr>
          <a:spLocks noChangeShapeType="1"/>
        </xdr:cNvSpPr>
      </xdr:nvSpPr>
      <xdr:spPr bwMode="auto">
        <a:xfrm flipH="1">
          <a:off x="5615796" y="1017917"/>
          <a:ext cx="1268083" cy="543464"/>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146649</xdr:colOff>
      <xdr:row>0</xdr:row>
      <xdr:rowOff>224287</xdr:rowOff>
    </xdr:from>
    <xdr:to>
      <xdr:col>11</xdr:col>
      <xdr:colOff>241540</xdr:colOff>
      <xdr:row>14</xdr:row>
      <xdr:rowOff>77638</xdr:rowOff>
    </xdr:to>
    <xdr:pic>
      <xdr:nvPicPr>
        <xdr:cNvPr id="13315" name="Picture 3" descr="ASSCLOU1"/>
        <xdr:cNvPicPr>
          <a:picLocks noChangeAspect="1" noChangeArrowheads="1"/>
        </xdr:cNvPicPr>
      </xdr:nvPicPr>
      <xdr:blipFill>
        <a:blip xmlns:r="http://schemas.openxmlformats.org/officeDocument/2006/relationships" r:embed="rId1">
          <a:lum bright="12000"/>
          <a:extLst>
            <a:ext uri="{28A0092B-C50C-407E-A947-70E740481C1C}">
              <a14:useLocalDpi xmlns:a14="http://schemas.microsoft.com/office/drawing/2010/main" val="0"/>
            </a:ext>
          </a:extLst>
        </a:blip>
        <a:srcRect r="37808"/>
        <a:stretch>
          <a:fillRect/>
        </a:stretch>
      </xdr:blipFill>
      <xdr:spPr bwMode="auto">
        <a:xfrm>
          <a:off x="9756475" y="224287"/>
          <a:ext cx="3131389" cy="198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1345721</xdr:colOff>
      <xdr:row>2</xdr:row>
      <xdr:rowOff>172528</xdr:rowOff>
    </xdr:from>
    <xdr:to>
      <xdr:col>5</xdr:col>
      <xdr:colOff>1802921</xdr:colOff>
      <xdr:row>7</xdr:row>
      <xdr:rowOff>0</xdr:rowOff>
    </xdr:to>
    <xdr:sp macro="" textlink="">
      <xdr:nvSpPr>
        <xdr:cNvPr id="21505" name="Oval 1"/>
        <xdr:cNvSpPr>
          <a:spLocks noChangeArrowheads="1"/>
        </xdr:cNvSpPr>
      </xdr:nvSpPr>
      <xdr:spPr bwMode="auto">
        <a:xfrm>
          <a:off x="7668883" y="672860"/>
          <a:ext cx="1915064" cy="776378"/>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27432" rIns="36576" bIns="0" anchor="t" upright="1"/>
        <a:lstStyle/>
        <a:p>
          <a:pPr algn="ctr" rtl="0">
            <a:defRPr sz="1000"/>
          </a:pPr>
          <a:r>
            <a:rPr lang="fr-FR" sz="1100" b="1" i="0" u="none" strike="noStrike" baseline="0">
              <a:solidFill>
                <a:srgbClr val="FF0000"/>
              </a:solidFill>
              <a:latin typeface="Arial"/>
              <a:cs typeface="Arial"/>
            </a:rPr>
            <a:t>Entrer les données dans la partie grise</a:t>
          </a:r>
          <a:endParaRPr lang="fr-FR"/>
        </a:p>
      </xdr:txBody>
    </xdr:sp>
    <xdr:clientData/>
  </xdr:twoCellAnchor>
  <xdr:twoCellAnchor>
    <xdr:from>
      <xdr:col>3</xdr:col>
      <xdr:colOff>1138687</xdr:colOff>
      <xdr:row>4</xdr:row>
      <xdr:rowOff>86264</xdr:rowOff>
    </xdr:from>
    <xdr:to>
      <xdr:col>4</xdr:col>
      <xdr:colOff>1337094</xdr:colOff>
      <xdr:row>4</xdr:row>
      <xdr:rowOff>181155</xdr:rowOff>
    </xdr:to>
    <xdr:sp macro="" textlink="">
      <xdr:nvSpPr>
        <xdr:cNvPr id="21506" name="Line 2"/>
        <xdr:cNvSpPr>
          <a:spLocks noChangeShapeType="1"/>
        </xdr:cNvSpPr>
      </xdr:nvSpPr>
      <xdr:spPr bwMode="auto">
        <a:xfrm flipH="1" flipV="1">
          <a:off x="6167887" y="966158"/>
          <a:ext cx="1492370" cy="94891"/>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215660</xdr:colOff>
      <xdr:row>3</xdr:row>
      <xdr:rowOff>112143</xdr:rowOff>
    </xdr:from>
    <xdr:to>
      <xdr:col>5</xdr:col>
      <xdr:colOff>2199736</xdr:colOff>
      <xdr:row>7</xdr:row>
      <xdr:rowOff>25879</xdr:rowOff>
    </xdr:to>
    <xdr:sp macro="" textlink="">
      <xdr:nvSpPr>
        <xdr:cNvPr id="14337" name="Oval 1"/>
        <xdr:cNvSpPr>
          <a:spLocks noChangeArrowheads="1"/>
        </xdr:cNvSpPr>
      </xdr:nvSpPr>
      <xdr:spPr bwMode="auto">
        <a:xfrm>
          <a:off x="6840747" y="785004"/>
          <a:ext cx="1984076" cy="73324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27432" rIns="36576" bIns="0" anchor="t" upright="1"/>
        <a:lstStyle/>
        <a:p>
          <a:pPr algn="ctr" rtl="0">
            <a:defRPr sz="1000"/>
          </a:pPr>
          <a:r>
            <a:rPr lang="fr-FR" sz="1100" b="1" i="0" u="none" strike="noStrike" baseline="0">
              <a:solidFill>
                <a:srgbClr val="FF0000"/>
              </a:solidFill>
              <a:latin typeface="Arial"/>
              <a:cs typeface="Arial"/>
            </a:rPr>
            <a:t>Entrer les données dans la partie grise</a:t>
          </a:r>
          <a:endParaRPr lang="fr-FR"/>
        </a:p>
      </xdr:txBody>
    </xdr:sp>
    <xdr:clientData/>
  </xdr:twoCellAnchor>
  <xdr:twoCellAnchor>
    <xdr:from>
      <xdr:col>7</xdr:col>
      <xdr:colOff>146649</xdr:colOff>
      <xdr:row>15</xdr:row>
      <xdr:rowOff>0</xdr:rowOff>
    </xdr:from>
    <xdr:to>
      <xdr:col>11</xdr:col>
      <xdr:colOff>241540</xdr:colOff>
      <xdr:row>15</xdr:row>
      <xdr:rowOff>0</xdr:rowOff>
    </xdr:to>
    <xdr:pic>
      <xdr:nvPicPr>
        <xdr:cNvPr id="14339" name="Picture 3" descr="ASSCLOU1"/>
        <xdr:cNvPicPr>
          <a:picLocks noChangeAspect="1" noChangeArrowheads="1"/>
        </xdr:cNvPicPr>
      </xdr:nvPicPr>
      <xdr:blipFill>
        <a:blip xmlns:r="http://schemas.openxmlformats.org/officeDocument/2006/relationships" r:embed="rId1">
          <a:lum bright="12000"/>
          <a:extLst>
            <a:ext uri="{28A0092B-C50C-407E-A947-70E740481C1C}">
              <a14:useLocalDpi xmlns:a14="http://schemas.microsoft.com/office/drawing/2010/main" val="0"/>
            </a:ext>
          </a:extLst>
        </a:blip>
        <a:srcRect r="37808"/>
        <a:stretch>
          <a:fillRect/>
        </a:stretch>
      </xdr:blipFill>
      <xdr:spPr bwMode="auto">
        <a:xfrm>
          <a:off x="9601200" y="3519577"/>
          <a:ext cx="313138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94891</xdr:colOff>
      <xdr:row>0</xdr:row>
      <xdr:rowOff>0</xdr:rowOff>
    </xdr:from>
    <xdr:to>
      <xdr:col>5</xdr:col>
      <xdr:colOff>2078966</xdr:colOff>
      <xdr:row>0</xdr:row>
      <xdr:rowOff>0</xdr:rowOff>
    </xdr:to>
    <xdr:sp macro="" textlink="">
      <xdr:nvSpPr>
        <xdr:cNvPr id="14342" name="Oval 6"/>
        <xdr:cNvSpPr>
          <a:spLocks noChangeArrowheads="1"/>
        </xdr:cNvSpPr>
      </xdr:nvSpPr>
      <xdr:spPr bwMode="auto">
        <a:xfrm>
          <a:off x="6719977" y="0"/>
          <a:ext cx="1984076" cy="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27432" rIns="36576" bIns="0" anchor="t" upright="1"/>
        <a:lstStyle/>
        <a:p>
          <a:pPr algn="ctr" rtl="0">
            <a:defRPr sz="1000"/>
          </a:pPr>
          <a:r>
            <a:rPr lang="fr-FR" sz="1100" b="1" i="0" u="none" strike="noStrike" baseline="0">
              <a:solidFill>
                <a:srgbClr val="FF0000"/>
              </a:solidFill>
              <a:latin typeface="Arial"/>
              <a:cs typeface="Arial"/>
            </a:rPr>
            <a:t>Entrer les données dans la partie grise</a:t>
          </a:r>
          <a:endParaRPr lang="fr-FR"/>
        </a:p>
      </xdr:txBody>
    </xdr:sp>
    <xdr:clientData/>
  </xdr:twoCellAnchor>
  <xdr:twoCellAnchor>
    <xdr:from>
      <xdr:col>7</xdr:col>
      <xdr:colOff>146649</xdr:colOff>
      <xdr:row>0</xdr:row>
      <xdr:rowOff>0</xdr:rowOff>
    </xdr:from>
    <xdr:to>
      <xdr:col>11</xdr:col>
      <xdr:colOff>241540</xdr:colOff>
      <xdr:row>0</xdr:row>
      <xdr:rowOff>0</xdr:rowOff>
    </xdr:to>
    <xdr:pic>
      <xdr:nvPicPr>
        <xdr:cNvPr id="14344" name="Picture 8" descr="ASSCLOU1"/>
        <xdr:cNvPicPr>
          <a:picLocks noChangeAspect="1" noChangeArrowheads="1"/>
        </xdr:cNvPicPr>
      </xdr:nvPicPr>
      <xdr:blipFill>
        <a:blip xmlns:r="http://schemas.openxmlformats.org/officeDocument/2006/relationships" r:embed="rId1">
          <a:lum bright="12000"/>
          <a:extLst>
            <a:ext uri="{28A0092B-C50C-407E-A947-70E740481C1C}">
              <a14:useLocalDpi xmlns:a14="http://schemas.microsoft.com/office/drawing/2010/main" val="0"/>
            </a:ext>
          </a:extLst>
        </a:blip>
        <a:srcRect r="37808"/>
        <a:stretch>
          <a:fillRect/>
        </a:stretch>
      </xdr:blipFill>
      <xdr:spPr bwMode="auto">
        <a:xfrm>
          <a:off x="9601200" y="0"/>
          <a:ext cx="313138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146649</xdr:colOff>
      <xdr:row>15</xdr:row>
      <xdr:rowOff>0</xdr:rowOff>
    </xdr:from>
    <xdr:to>
      <xdr:col>11</xdr:col>
      <xdr:colOff>241540</xdr:colOff>
      <xdr:row>15</xdr:row>
      <xdr:rowOff>0</xdr:rowOff>
    </xdr:to>
    <xdr:pic>
      <xdr:nvPicPr>
        <xdr:cNvPr id="14347" name="Picture 11" descr="ASSCLOU1"/>
        <xdr:cNvPicPr>
          <a:picLocks noChangeAspect="1" noChangeArrowheads="1"/>
        </xdr:cNvPicPr>
      </xdr:nvPicPr>
      <xdr:blipFill>
        <a:blip xmlns:r="http://schemas.openxmlformats.org/officeDocument/2006/relationships" r:embed="rId1">
          <a:lum bright="12000"/>
          <a:extLst>
            <a:ext uri="{28A0092B-C50C-407E-A947-70E740481C1C}">
              <a14:useLocalDpi xmlns:a14="http://schemas.microsoft.com/office/drawing/2010/main" val="0"/>
            </a:ext>
          </a:extLst>
        </a:blip>
        <a:srcRect r="37808"/>
        <a:stretch>
          <a:fillRect/>
        </a:stretch>
      </xdr:blipFill>
      <xdr:spPr bwMode="auto">
        <a:xfrm>
          <a:off x="9601200" y="3519577"/>
          <a:ext cx="313138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146649</xdr:colOff>
      <xdr:row>15</xdr:row>
      <xdr:rowOff>0</xdr:rowOff>
    </xdr:from>
    <xdr:to>
      <xdr:col>11</xdr:col>
      <xdr:colOff>241540</xdr:colOff>
      <xdr:row>15</xdr:row>
      <xdr:rowOff>0</xdr:rowOff>
    </xdr:to>
    <xdr:pic>
      <xdr:nvPicPr>
        <xdr:cNvPr id="14359" name="Picture 23" descr="ASSCLOU1"/>
        <xdr:cNvPicPr>
          <a:picLocks noChangeAspect="1" noChangeArrowheads="1"/>
        </xdr:cNvPicPr>
      </xdr:nvPicPr>
      <xdr:blipFill>
        <a:blip xmlns:r="http://schemas.openxmlformats.org/officeDocument/2006/relationships" r:embed="rId1">
          <a:lum bright="12000"/>
          <a:extLst>
            <a:ext uri="{28A0092B-C50C-407E-A947-70E740481C1C}">
              <a14:useLocalDpi xmlns:a14="http://schemas.microsoft.com/office/drawing/2010/main" val="0"/>
            </a:ext>
          </a:extLst>
        </a:blip>
        <a:srcRect r="37808"/>
        <a:stretch>
          <a:fillRect/>
        </a:stretch>
      </xdr:blipFill>
      <xdr:spPr bwMode="auto">
        <a:xfrm>
          <a:off x="9601200" y="3519577"/>
          <a:ext cx="313138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336430</xdr:colOff>
      <xdr:row>9</xdr:row>
      <xdr:rowOff>267419</xdr:rowOff>
    </xdr:from>
    <xdr:to>
      <xdr:col>2</xdr:col>
      <xdr:colOff>198408</xdr:colOff>
      <xdr:row>13</xdr:row>
      <xdr:rowOff>129396</xdr:rowOff>
    </xdr:to>
    <xdr:sp macro="" textlink="">
      <xdr:nvSpPr>
        <xdr:cNvPr id="14368" name="WordArt 32"/>
        <xdr:cNvSpPr>
          <a:spLocks noChangeArrowheads="1" noChangeShapeType="1" noTextEdit="1"/>
        </xdr:cNvSpPr>
      </xdr:nvSpPr>
      <xdr:spPr bwMode="auto">
        <a:xfrm>
          <a:off x="664234" y="2294626"/>
          <a:ext cx="3260785" cy="854016"/>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nouvelles régles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345057</xdr:colOff>
      <xdr:row>0</xdr:row>
      <xdr:rowOff>34506</xdr:rowOff>
    </xdr:from>
    <xdr:to>
      <xdr:col>9</xdr:col>
      <xdr:colOff>370936</xdr:colOff>
      <xdr:row>11</xdr:row>
      <xdr:rowOff>60385</xdr:rowOff>
    </xdr:to>
    <xdr:pic>
      <xdr:nvPicPr>
        <xdr:cNvPr id="15361" name="Picture 1" descr="ASSCLOU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9772"/>
        <a:stretch>
          <a:fillRect/>
        </a:stretch>
      </xdr:blipFill>
      <xdr:spPr bwMode="auto">
        <a:xfrm>
          <a:off x="4649638" y="34506"/>
          <a:ext cx="3588588" cy="2130724"/>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86264</xdr:colOff>
      <xdr:row>16</xdr:row>
      <xdr:rowOff>86264</xdr:rowOff>
    </xdr:from>
    <xdr:to>
      <xdr:col>10</xdr:col>
      <xdr:colOff>621102</xdr:colOff>
      <xdr:row>24</xdr:row>
      <xdr:rowOff>103517</xdr:rowOff>
    </xdr:to>
    <xdr:pic>
      <xdr:nvPicPr>
        <xdr:cNvPr id="15365" name="Picture 5" descr="c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94430" y="3019245"/>
          <a:ext cx="2053087" cy="1449238"/>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51758</xdr:colOff>
      <xdr:row>26</xdr:row>
      <xdr:rowOff>69011</xdr:rowOff>
    </xdr:from>
    <xdr:to>
      <xdr:col>11</xdr:col>
      <xdr:colOff>457200</xdr:colOff>
      <xdr:row>27</xdr:row>
      <xdr:rowOff>129396</xdr:rowOff>
    </xdr:to>
    <xdr:sp macro="" textlink="">
      <xdr:nvSpPr>
        <xdr:cNvPr id="15366" name="AutoShape 6"/>
        <xdr:cNvSpPr>
          <a:spLocks noChangeArrowheads="1"/>
        </xdr:cNvSpPr>
      </xdr:nvSpPr>
      <xdr:spPr bwMode="auto">
        <a:xfrm>
          <a:off x="7159925" y="4701396"/>
          <a:ext cx="2682815" cy="207034"/>
        </a:xfrm>
        <a:prstGeom prst="wedgeRectCallout">
          <a:avLst>
            <a:gd name="adj1" fmla="val -16782"/>
            <a:gd name="adj2" fmla="val -2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fr-FR" sz="1000" b="1" i="0" u="none" strike="noStrike" baseline="0">
              <a:solidFill>
                <a:srgbClr val="000000"/>
              </a:solidFill>
              <a:latin typeface="Arial"/>
              <a:cs typeface="Arial"/>
            </a:rPr>
            <a:t>COURONNE D'ANNEAUX OU DE CRAMPONS</a:t>
          </a:r>
          <a:endParaRPr lang="fr-FR"/>
        </a:p>
      </xdr:txBody>
    </xdr:sp>
    <xdr:clientData/>
  </xdr:twoCellAnchor>
  <xdr:twoCellAnchor>
    <xdr:from>
      <xdr:col>5</xdr:col>
      <xdr:colOff>672860</xdr:colOff>
      <xdr:row>11</xdr:row>
      <xdr:rowOff>112143</xdr:rowOff>
    </xdr:from>
    <xdr:to>
      <xdr:col>8</xdr:col>
      <xdr:colOff>8626</xdr:colOff>
      <xdr:row>14</xdr:row>
      <xdr:rowOff>25879</xdr:rowOff>
    </xdr:to>
    <xdr:sp macro="" textlink="">
      <xdr:nvSpPr>
        <xdr:cNvPr id="15368" name="Text Box 8"/>
        <xdr:cNvSpPr txBox="1">
          <a:spLocks noChangeArrowheads="1"/>
        </xdr:cNvSpPr>
      </xdr:nvSpPr>
      <xdr:spPr bwMode="auto">
        <a:xfrm>
          <a:off x="5503653" y="2216989"/>
          <a:ext cx="1613139" cy="362309"/>
        </a:xfrm>
        <a:prstGeom prst="rect">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Choisir un nouvel </a:t>
          </a:r>
          <a:r>
            <a:rPr lang="fr-FR" sz="1000" b="1" i="0" u="none" strike="noStrike" baseline="0">
              <a:solidFill>
                <a:srgbClr val="000000"/>
              </a:solidFill>
              <a:latin typeface="Arial"/>
              <a:cs typeface="Arial"/>
            </a:rPr>
            <a:t>a1</a:t>
          </a:r>
          <a:r>
            <a:rPr lang="fr-FR" sz="1000" b="0" i="0" u="none" strike="noStrike" baseline="0">
              <a:solidFill>
                <a:srgbClr val="000000"/>
              </a:solidFill>
              <a:latin typeface="Arial"/>
              <a:cs typeface="Arial"/>
            </a:rPr>
            <a:t>, a2 s'ajustera automatiquement</a:t>
          </a:r>
          <a:endParaRPr lang="fr-FR"/>
        </a:p>
      </xdr:txBody>
    </xdr:sp>
    <xdr:clientData/>
  </xdr:twoCellAnchor>
  <xdr:twoCellAnchor>
    <xdr:from>
      <xdr:col>5</xdr:col>
      <xdr:colOff>690113</xdr:colOff>
      <xdr:row>19</xdr:row>
      <xdr:rowOff>146649</xdr:rowOff>
    </xdr:from>
    <xdr:to>
      <xdr:col>8</xdr:col>
      <xdr:colOff>25879</xdr:colOff>
      <xdr:row>22</xdr:row>
      <xdr:rowOff>0</xdr:rowOff>
    </xdr:to>
    <xdr:sp macro="" textlink="">
      <xdr:nvSpPr>
        <xdr:cNvPr id="15371" name="Text Box 11"/>
        <xdr:cNvSpPr txBox="1">
          <a:spLocks noChangeArrowheads="1"/>
        </xdr:cNvSpPr>
      </xdr:nvSpPr>
      <xdr:spPr bwMode="auto">
        <a:xfrm>
          <a:off x="5520906" y="3648974"/>
          <a:ext cx="1613139" cy="370935"/>
        </a:xfrm>
        <a:prstGeom prst="rect">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Les assembleurs sont ils // au fil du bois ?</a:t>
          </a:r>
          <a:endParaRPr lang="fr-F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94891</xdr:colOff>
      <xdr:row>52</xdr:row>
      <xdr:rowOff>181155</xdr:rowOff>
    </xdr:from>
    <xdr:to>
      <xdr:col>5</xdr:col>
      <xdr:colOff>2087592</xdr:colOff>
      <xdr:row>55</xdr:row>
      <xdr:rowOff>181155</xdr:rowOff>
    </xdr:to>
    <xdr:sp macro="" textlink="">
      <xdr:nvSpPr>
        <xdr:cNvPr id="16391" name="Oval 7"/>
        <xdr:cNvSpPr>
          <a:spLocks noChangeArrowheads="1"/>
        </xdr:cNvSpPr>
      </xdr:nvSpPr>
      <xdr:spPr bwMode="auto">
        <a:xfrm>
          <a:off x="6849374" y="9713343"/>
          <a:ext cx="1052422" cy="569344"/>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27432" rIns="36576" bIns="0" anchor="t" upright="1"/>
        <a:lstStyle/>
        <a:p>
          <a:pPr algn="ctr" rtl="0">
            <a:defRPr sz="1000"/>
          </a:pPr>
          <a:r>
            <a:rPr lang="fr-FR" sz="1100" b="1" i="0" u="none" strike="noStrike" baseline="0">
              <a:solidFill>
                <a:srgbClr val="FF0000"/>
              </a:solidFill>
              <a:latin typeface="Arial"/>
              <a:cs typeface="Arial"/>
            </a:rPr>
            <a:t>Entrer les données dans la partie grise</a:t>
          </a:r>
          <a:endParaRPr lang="fr-FR"/>
        </a:p>
      </xdr:txBody>
    </xdr:sp>
    <xdr:clientData/>
  </xdr:twoCellAnchor>
  <xdr:twoCellAnchor>
    <xdr:from>
      <xdr:col>3</xdr:col>
      <xdr:colOff>1293962</xdr:colOff>
      <xdr:row>54</xdr:row>
      <xdr:rowOff>103517</xdr:rowOff>
    </xdr:from>
    <xdr:to>
      <xdr:col>5</xdr:col>
      <xdr:colOff>112143</xdr:colOff>
      <xdr:row>55</xdr:row>
      <xdr:rowOff>94891</xdr:rowOff>
    </xdr:to>
    <xdr:sp macro="" textlink="">
      <xdr:nvSpPr>
        <xdr:cNvPr id="16392" name="Line 8"/>
        <xdr:cNvSpPr>
          <a:spLocks noChangeShapeType="1"/>
        </xdr:cNvSpPr>
      </xdr:nvSpPr>
      <xdr:spPr bwMode="auto">
        <a:xfrm flipH="1">
          <a:off x="6003985" y="10015268"/>
          <a:ext cx="862641" cy="18115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224287</xdr:colOff>
      <xdr:row>15</xdr:row>
      <xdr:rowOff>34506</xdr:rowOff>
    </xdr:from>
    <xdr:to>
      <xdr:col>7</xdr:col>
      <xdr:colOff>552091</xdr:colOff>
      <xdr:row>23</xdr:row>
      <xdr:rowOff>94891</xdr:rowOff>
    </xdr:to>
    <xdr:pic>
      <xdr:nvPicPr>
        <xdr:cNvPr id="16399" name="Picture 15" descr="mso73FF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78770" y="2794958"/>
          <a:ext cx="2355011" cy="1906438"/>
        </a:xfrm>
        <a:prstGeom prst="rect">
          <a:avLst/>
        </a:prstGeom>
        <a:noFill/>
        <a:ln w="9525">
          <a:solidFill>
            <a:srgbClr xmlns:mc="http://schemas.openxmlformats.org/markup-compatibility/2006" xmlns:a14="http://schemas.microsoft.com/office/drawing/2010/main" val="3366FF" mc:Ignorable="a14" a14:legacySpreadsheetColorIndex="48"/>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5</xdr:col>
      <xdr:colOff>138023</xdr:colOff>
      <xdr:row>1</xdr:row>
      <xdr:rowOff>129396</xdr:rowOff>
    </xdr:from>
    <xdr:to>
      <xdr:col>8</xdr:col>
      <xdr:colOff>172528</xdr:colOff>
      <xdr:row>4</xdr:row>
      <xdr:rowOff>155275</xdr:rowOff>
    </xdr:to>
    <xdr:sp macro="" textlink="">
      <xdr:nvSpPr>
        <xdr:cNvPr id="23553" name="Oval 1"/>
        <xdr:cNvSpPr>
          <a:spLocks noChangeArrowheads="1"/>
        </xdr:cNvSpPr>
      </xdr:nvSpPr>
      <xdr:spPr bwMode="auto">
        <a:xfrm>
          <a:off x="7453223" y="422694"/>
          <a:ext cx="2303252" cy="59522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27432" rIns="36576" bIns="0" anchor="t" upright="1"/>
        <a:lstStyle/>
        <a:p>
          <a:pPr algn="ctr" rtl="0">
            <a:defRPr sz="1000"/>
          </a:pPr>
          <a:r>
            <a:rPr lang="fr-FR" sz="1100" b="1" i="0" u="none" strike="noStrike" baseline="0">
              <a:solidFill>
                <a:srgbClr val="FF0000"/>
              </a:solidFill>
              <a:latin typeface="Arial"/>
              <a:cs typeface="Arial"/>
            </a:rPr>
            <a:t>Entrer les données dans la partie grise</a:t>
          </a:r>
          <a:endParaRPr lang="fr-FR"/>
        </a:p>
      </xdr:txBody>
    </xdr:sp>
    <xdr:clientData/>
  </xdr:twoCellAnchor>
  <xdr:twoCellAnchor>
    <xdr:from>
      <xdr:col>3</xdr:col>
      <xdr:colOff>879894</xdr:colOff>
      <xdr:row>3</xdr:row>
      <xdr:rowOff>112143</xdr:rowOff>
    </xdr:from>
    <xdr:to>
      <xdr:col>5</xdr:col>
      <xdr:colOff>138023</xdr:colOff>
      <xdr:row>5</xdr:row>
      <xdr:rowOff>0</xdr:rowOff>
    </xdr:to>
    <xdr:sp macro="" textlink="">
      <xdr:nvSpPr>
        <xdr:cNvPr id="23554" name="Line 2"/>
        <xdr:cNvSpPr>
          <a:spLocks noChangeShapeType="1"/>
        </xdr:cNvSpPr>
      </xdr:nvSpPr>
      <xdr:spPr bwMode="auto">
        <a:xfrm flipH="1">
          <a:off x="6081623" y="785004"/>
          <a:ext cx="1371600" cy="267419"/>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6</xdr:col>
          <xdr:colOff>276045</xdr:colOff>
          <xdr:row>3</xdr:row>
          <xdr:rowOff>0</xdr:rowOff>
        </xdr:to>
        <xdr:sp macro="" textlink="">
          <xdr:nvSpPr>
            <xdr:cNvPr id="46082" name="Drop Down 2" hidden="1">
              <a:extLst>
                <a:ext uri="{63B3BB69-23CF-44E3-9099-C40C66FF867C}">
                  <a14:compatExt spid="_x0000_s46082"/>
                </a:ext>
              </a:extLst>
            </xdr:cNvPr>
            <xdr:cNvSpPr/>
          </xdr:nvSpPr>
          <xdr:spPr>
            <a:xfrm>
              <a:off x="0" y="0"/>
              <a:ext cx="0" cy="0"/>
            </a:xfrm>
            <a:prstGeom prst="rect">
              <a:avLst/>
            </a:prstGeom>
          </xdr:spPr>
        </xdr:sp>
        <xdr:clientData/>
      </xdr:twoCellAnchor>
    </mc:Choice>
    <mc:Fallback/>
  </mc:AlternateContent>
  <xdr:twoCellAnchor>
    <xdr:from>
      <xdr:col>2</xdr:col>
      <xdr:colOff>163902</xdr:colOff>
      <xdr:row>6</xdr:row>
      <xdr:rowOff>0</xdr:rowOff>
    </xdr:from>
    <xdr:to>
      <xdr:col>2</xdr:col>
      <xdr:colOff>163902</xdr:colOff>
      <xdr:row>6</xdr:row>
      <xdr:rowOff>163902</xdr:rowOff>
    </xdr:to>
    <xdr:sp macro="" textlink="">
      <xdr:nvSpPr>
        <xdr:cNvPr id="46083" name="Line 3"/>
        <xdr:cNvSpPr>
          <a:spLocks noChangeShapeType="1"/>
        </xdr:cNvSpPr>
      </xdr:nvSpPr>
      <xdr:spPr bwMode="auto">
        <a:xfrm>
          <a:off x="1121434" y="1423358"/>
          <a:ext cx="0" cy="16390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5</xdr:row>
      <xdr:rowOff>0</xdr:rowOff>
    </xdr:from>
    <xdr:to>
      <xdr:col>3</xdr:col>
      <xdr:colOff>0</xdr:colOff>
      <xdr:row>6</xdr:row>
      <xdr:rowOff>0</xdr:rowOff>
    </xdr:to>
    <xdr:sp macro="" textlink="">
      <xdr:nvSpPr>
        <xdr:cNvPr id="46084" name="Line 4"/>
        <xdr:cNvSpPr>
          <a:spLocks noChangeShapeType="1"/>
        </xdr:cNvSpPr>
      </xdr:nvSpPr>
      <xdr:spPr bwMode="auto">
        <a:xfrm flipV="1">
          <a:off x="957532" y="1207698"/>
          <a:ext cx="301925" cy="215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xdr:row>
      <xdr:rowOff>0</xdr:rowOff>
    </xdr:from>
    <xdr:to>
      <xdr:col>3</xdr:col>
      <xdr:colOff>8626</xdr:colOff>
      <xdr:row>6</xdr:row>
      <xdr:rowOff>0</xdr:rowOff>
    </xdr:to>
    <xdr:sp macro="" textlink="">
      <xdr:nvSpPr>
        <xdr:cNvPr id="46085" name="Line 5"/>
        <xdr:cNvSpPr>
          <a:spLocks noChangeShapeType="1"/>
        </xdr:cNvSpPr>
      </xdr:nvSpPr>
      <xdr:spPr bwMode="auto">
        <a:xfrm>
          <a:off x="957532" y="1207698"/>
          <a:ext cx="310551" cy="215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854015</xdr:colOff>
      <xdr:row>4</xdr:row>
      <xdr:rowOff>8626</xdr:rowOff>
    </xdr:from>
    <xdr:to>
      <xdr:col>5</xdr:col>
      <xdr:colOff>0</xdr:colOff>
      <xdr:row>5</xdr:row>
      <xdr:rowOff>51758</xdr:rowOff>
    </xdr:to>
    <xdr:sp macro="" textlink="">
      <xdr:nvSpPr>
        <xdr:cNvPr id="3073" name="Line 1"/>
        <xdr:cNvSpPr>
          <a:spLocks noChangeShapeType="1"/>
        </xdr:cNvSpPr>
      </xdr:nvSpPr>
      <xdr:spPr bwMode="auto">
        <a:xfrm flipH="1">
          <a:off x="5279366" y="888521"/>
          <a:ext cx="1319842" cy="232913"/>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25879</xdr:colOff>
      <xdr:row>2</xdr:row>
      <xdr:rowOff>77638</xdr:rowOff>
    </xdr:from>
    <xdr:to>
      <xdr:col>7</xdr:col>
      <xdr:colOff>250166</xdr:colOff>
      <xdr:row>5</xdr:row>
      <xdr:rowOff>77638</xdr:rowOff>
    </xdr:to>
    <xdr:sp macro="" textlink="">
      <xdr:nvSpPr>
        <xdr:cNvPr id="3074" name="Oval 2"/>
        <xdr:cNvSpPr>
          <a:spLocks noChangeArrowheads="1"/>
        </xdr:cNvSpPr>
      </xdr:nvSpPr>
      <xdr:spPr bwMode="auto">
        <a:xfrm>
          <a:off x="6625087" y="577970"/>
          <a:ext cx="2467155" cy="56934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27432" rIns="36576" bIns="0" anchor="t" upright="1"/>
        <a:lstStyle/>
        <a:p>
          <a:pPr algn="ctr" rtl="0">
            <a:defRPr sz="1000"/>
          </a:pPr>
          <a:r>
            <a:rPr lang="fr-FR" sz="1100" b="1" i="0" u="none" strike="noStrike" baseline="0">
              <a:solidFill>
                <a:srgbClr val="FF0000"/>
              </a:solidFill>
              <a:latin typeface="Arial"/>
              <a:cs typeface="Arial"/>
            </a:rPr>
            <a:t>Entrer les données dans la partie grise</a:t>
          </a:r>
          <a:endParaRPr lang="fr-FR"/>
        </a:p>
      </xdr:txBody>
    </xdr:sp>
    <xdr:clientData/>
  </xdr:twoCellAnchor>
  <mc:AlternateContent xmlns:mc="http://schemas.openxmlformats.org/markup-compatibility/2006">
    <mc:Choice xmlns:a14="http://schemas.microsoft.com/office/drawing/2010/main" Requires="a14">
      <xdr:twoCellAnchor>
        <xdr:from>
          <xdr:col>5</xdr:col>
          <xdr:colOff>1069675</xdr:colOff>
          <xdr:row>10</xdr:row>
          <xdr:rowOff>69011</xdr:rowOff>
        </xdr:from>
        <xdr:to>
          <xdr:col>7</xdr:col>
          <xdr:colOff>405442</xdr:colOff>
          <xdr:row>13</xdr:row>
          <xdr:rowOff>103517</xdr:rowOff>
        </xdr:to>
        <xdr:sp macro="" textlink="">
          <xdr:nvSpPr>
            <xdr:cNvPr id="3081" name="Object 9" hidden="1">
              <a:extLst>
                <a:ext uri="{63B3BB69-23CF-44E3-9099-C40C66FF867C}">
                  <a14:compatExt spid="_x0000_s3081"/>
                </a:ext>
              </a:extLst>
            </xdr:cNvPr>
            <xdr:cNvSpPr/>
          </xdr:nvSpPr>
          <xdr:spPr>
            <a:xfrm>
              <a:off x="0" y="0"/>
              <a:ext cx="0" cy="0"/>
            </a:xfrm>
            <a:prstGeom prst="rect">
              <a:avLst/>
            </a:prstGeom>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xdr:twoCellAnchor>
    <xdr:from>
      <xdr:col>10</xdr:col>
      <xdr:colOff>414068</xdr:colOff>
      <xdr:row>0</xdr:row>
      <xdr:rowOff>0</xdr:rowOff>
    </xdr:from>
    <xdr:to>
      <xdr:col>11</xdr:col>
      <xdr:colOff>474453</xdr:colOff>
      <xdr:row>0</xdr:row>
      <xdr:rowOff>0</xdr:rowOff>
    </xdr:to>
    <xdr:sp macro="" textlink="">
      <xdr:nvSpPr>
        <xdr:cNvPr id="38915" name="WordArt 3" descr="Papier Kraft"/>
        <xdr:cNvSpPr>
          <a:spLocks noChangeArrowheads="1" noChangeShapeType="1" noTextEdit="1"/>
        </xdr:cNvSpPr>
      </xdr:nvSpPr>
      <xdr:spPr bwMode="auto">
        <a:xfrm>
          <a:off x="8005313" y="0"/>
          <a:ext cx="819510" cy="0"/>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1"/>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431321</xdr:colOff>
          <xdr:row>9</xdr:row>
          <xdr:rowOff>224287</xdr:rowOff>
        </xdr:from>
        <xdr:to>
          <xdr:col>7</xdr:col>
          <xdr:colOff>319177</xdr:colOff>
          <xdr:row>14</xdr:row>
          <xdr:rowOff>34506</xdr:rowOff>
        </xdr:to>
        <xdr:sp macro="" textlink="">
          <xdr:nvSpPr>
            <xdr:cNvPr id="26629" name="Object 5" hidden="1">
              <a:extLst>
                <a:ext uri="{63B3BB69-23CF-44E3-9099-C40C66FF867C}">
                  <a14:compatExt spid="_x0000_s266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439947</xdr:colOff>
          <xdr:row>17</xdr:row>
          <xdr:rowOff>0</xdr:rowOff>
        </xdr:from>
        <xdr:to>
          <xdr:col>6</xdr:col>
          <xdr:colOff>370936</xdr:colOff>
          <xdr:row>20</xdr:row>
          <xdr:rowOff>155275</xdr:rowOff>
        </xdr:to>
        <xdr:sp macro="" textlink="">
          <xdr:nvSpPr>
            <xdr:cNvPr id="26630" name="Object 6" hidden="1">
              <a:extLst>
                <a:ext uri="{63B3BB69-23CF-44E3-9099-C40C66FF867C}">
                  <a14:compatExt spid="_x0000_s266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457200</xdr:colOff>
          <xdr:row>2</xdr:row>
          <xdr:rowOff>25879</xdr:rowOff>
        </xdr:from>
        <xdr:to>
          <xdr:col>6</xdr:col>
          <xdr:colOff>207034</xdr:colOff>
          <xdr:row>4</xdr:row>
          <xdr:rowOff>267419</xdr:rowOff>
        </xdr:to>
        <xdr:sp macro="" textlink="">
          <xdr:nvSpPr>
            <xdr:cNvPr id="26631" name="Object 7" hidden="1">
              <a:extLst>
                <a:ext uri="{63B3BB69-23CF-44E3-9099-C40C66FF867C}">
                  <a14:compatExt spid="_x0000_s26631"/>
                </a:ext>
              </a:extLst>
            </xdr:cNvPr>
            <xdr:cNvSpPr/>
          </xdr:nvSpPr>
          <xdr:spPr>
            <a:xfrm>
              <a:off x="0" y="0"/>
              <a:ext cx="0" cy="0"/>
            </a:xfrm>
            <a:prstGeom prst="rect">
              <a:avLst/>
            </a:prstGeom>
          </xdr:spPr>
        </xdr:sp>
        <xdr:clientData/>
      </xdr:twoCellAnchor>
    </mc:Choice>
    <mc:Fallback/>
  </mc:AlternateContent>
  <xdr:twoCellAnchor>
    <xdr:from>
      <xdr:col>3</xdr:col>
      <xdr:colOff>94891</xdr:colOff>
      <xdr:row>5</xdr:row>
      <xdr:rowOff>0</xdr:rowOff>
    </xdr:from>
    <xdr:to>
      <xdr:col>5</xdr:col>
      <xdr:colOff>77638</xdr:colOff>
      <xdr:row>10</xdr:row>
      <xdr:rowOff>112143</xdr:rowOff>
    </xdr:to>
    <xdr:sp macro="" textlink="">
      <xdr:nvSpPr>
        <xdr:cNvPr id="26633" name="Line 9"/>
        <xdr:cNvSpPr>
          <a:spLocks noChangeShapeType="1"/>
        </xdr:cNvSpPr>
      </xdr:nvSpPr>
      <xdr:spPr bwMode="auto">
        <a:xfrm>
          <a:off x="2924355" y="1086928"/>
          <a:ext cx="1500996" cy="10696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362309</xdr:colOff>
      <xdr:row>13</xdr:row>
      <xdr:rowOff>17253</xdr:rowOff>
    </xdr:from>
    <xdr:to>
      <xdr:col>4</xdr:col>
      <xdr:colOff>310551</xdr:colOff>
      <xdr:row>13</xdr:row>
      <xdr:rowOff>17253</xdr:rowOff>
    </xdr:to>
    <xdr:sp macro="" textlink="">
      <xdr:nvSpPr>
        <xdr:cNvPr id="26635" name="Line 11"/>
        <xdr:cNvSpPr>
          <a:spLocks noChangeShapeType="1"/>
        </xdr:cNvSpPr>
      </xdr:nvSpPr>
      <xdr:spPr bwMode="auto">
        <a:xfrm flipV="1">
          <a:off x="3191774" y="2777706"/>
          <a:ext cx="70736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172528</xdr:colOff>
      <xdr:row>11</xdr:row>
      <xdr:rowOff>25879</xdr:rowOff>
    </xdr:from>
    <xdr:to>
      <xdr:col>3</xdr:col>
      <xdr:colOff>250166</xdr:colOff>
      <xdr:row>15</xdr:row>
      <xdr:rowOff>0</xdr:rowOff>
    </xdr:to>
    <xdr:sp macro="" textlink="">
      <xdr:nvSpPr>
        <xdr:cNvPr id="26637" name="AutoShape 13"/>
        <xdr:cNvSpPr>
          <a:spLocks/>
        </xdr:cNvSpPr>
      </xdr:nvSpPr>
      <xdr:spPr bwMode="auto">
        <a:xfrm>
          <a:off x="3001992" y="2311879"/>
          <a:ext cx="77638" cy="854015"/>
        </a:xfrm>
        <a:prstGeom prst="rightBrace">
          <a:avLst>
            <a:gd name="adj1" fmla="val 9166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301925</xdr:colOff>
      <xdr:row>3</xdr:row>
      <xdr:rowOff>51758</xdr:rowOff>
    </xdr:from>
    <xdr:to>
      <xdr:col>7</xdr:col>
      <xdr:colOff>129396</xdr:colOff>
      <xdr:row>4</xdr:row>
      <xdr:rowOff>241540</xdr:rowOff>
    </xdr:to>
    <xdr:sp macro="" textlink="">
      <xdr:nvSpPr>
        <xdr:cNvPr id="26639" name="WordArt 15"/>
        <xdr:cNvSpPr>
          <a:spLocks noChangeArrowheads="1" noChangeShapeType="1" noTextEdit="1"/>
        </xdr:cNvSpPr>
      </xdr:nvSpPr>
      <xdr:spPr bwMode="auto">
        <a:xfrm>
          <a:off x="5408762" y="690113"/>
          <a:ext cx="586596" cy="370936"/>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6</xdr:col>
      <xdr:colOff>457200</xdr:colOff>
      <xdr:row>17</xdr:row>
      <xdr:rowOff>155275</xdr:rowOff>
    </xdr:from>
    <xdr:to>
      <xdr:col>7</xdr:col>
      <xdr:colOff>284672</xdr:colOff>
      <xdr:row>20</xdr:row>
      <xdr:rowOff>51758</xdr:rowOff>
    </xdr:to>
    <xdr:sp macro="" textlink="">
      <xdr:nvSpPr>
        <xdr:cNvPr id="26640" name="WordArt 16"/>
        <xdr:cNvSpPr>
          <a:spLocks noChangeArrowheads="1" noChangeShapeType="1" noTextEdit="1"/>
        </xdr:cNvSpPr>
      </xdr:nvSpPr>
      <xdr:spPr bwMode="auto">
        <a:xfrm>
          <a:off x="5564038" y="3648974"/>
          <a:ext cx="586596" cy="405441"/>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10</xdr:col>
      <xdr:colOff>379562</xdr:colOff>
      <xdr:row>14</xdr:row>
      <xdr:rowOff>163902</xdr:rowOff>
    </xdr:from>
    <xdr:to>
      <xdr:col>11</xdr:col>
      <xdr:colOff>414068</xdr:colOff>
      <xdr:row>16</xdr:row>
      <xdr:rowOff>17253</xdr:rowOff>
    </xdr:to>
    <xdr:sp macro="" textlink="">
      <xdr:nvSpPr>
        <xdr:cNvPr id="26641" name="WordArt 17" descr="Papier Kraft"/>
        <xdr:cNvSpPr>
          <a:spLocks noChangeArrowheads="1" noChangeShapeType="1" noTextEdit="1"/>
        </xdr:cNvSpPr>
      </xdr:nvSpPr>
      <xdr:spPr bwMode="auto">
        <a:xfrm>
          <a:off x="8212347" y="3157268"/>
          <a:ext cx="793630" cy="189781"/>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1"/>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mc:AlternateContent xmlns:mc="http://schemas.openxmlformats.org/markup-compatibility/2006">
    <mc:Choice xmlns:a14="http://schemas.microsoft.com/office/drawing/2010/main" Requires="a14">
      <xdr:twoCellAnchor>
        <xdr:from>
          <xdr:col>4</xdr:col>
          <xdr:colOff>431321</xdr:colOff>
          <xdr:row>7</xdr:row>
          <xdr:rowOff>77638</xdr:rowOff>
        </xdr:from>
        <xdr:to>
          <xdr:col>7</xdr:col>
          <xdr:colOff>293298</xdr:colOff>
          <xdr:row>9</xdr:row>
          <xdr:rowOff>25879</xdr:rowOff>
        </xdr:to>
        <xdr:sp macro="" textlink="">
          <xdr:nvSpPr>
            <xdr:cNvPr id="26642" name="Object 18" hidden="1">
              <a:extLst>
                <a:ext uri="{63B3BB69-23CF-44E3-9099-C40C66FF867C}">
                  <a14:compatExt spid="_x0000_s26642"/>
                </a:ext>
              </a:extLst>
            </xdr:cNvPr>
            <xdr:cNvSpPr/>
          </xdr:nvSpPr>
          <xdr:spPr>
            <a:xfrm>
              <a:off x="0" y="0"/>
              <a:ext cx="0" cy="0"/>
            </a:xfrm>
            <a:prstGeom prst="rect">
              <a:avLst/>
            </a:prstGeom>
          </xdr:spPr>
        </xdr:sp>
        <xdr:clientData/>
      </xdr:twoCellAnchor>
    </mc:Choice>
    <mc:Fallback/>
  </mc:AlternateContent>
  <xdr:twoCellAnchor>
    <xdr:from>
      <xdr:col>8</xdr:col>
      <xdr:colOff>129396</xdr:colOff>
      <xdr:row>12</xdr:row>
      <xdr:rowOff>8626</xdr:rowOff>
    </xdr:from>
    <xdr:to>
      <xdr:col>8</xdr:col>
      <xdr:colOff>750498</xdr:colOff>
      <xdr:row>12</xdr:row>
      <xdr:rowOff>8626</xdr:rowOff>
    </xdr:to>
    <xdr:sp macro="" textlink="">
      <xdr:nvSpPr>
        <xdr:cNvPr id="26644" name="Line 20"/>
        <xdr:cNvSpPr>
          <a:spLocks noChangeShapeType="1"/>
        </xdr:cNvSpPr>
      </xdr:nvSpPr>
      <xdr:spPr bwMode="auto">
        <a:xfrm>
          <a:off x="6754483" y="2562045"/>
          <a:ext cx="621102"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439947</xdr:colOff>
      <xdr:row>12</xdr:row>
      <xdr:rowOff>8626</xdr:rowOff>
    </xdr:from>
    <xdr:to>
      <xdr:col>7</xdr:col>
      <xdr:colOff>690113</xdr:colOff>
      <xdr:row>12</xdr:row>
      <xdr:rowOff>8626</xdr:rowOff>
    </xdr:to>
    <xdr:sp macro="" textlink="">
      <xdr:nvSpPr>
        <xdr:cNvPr id="26645" name="Line 21"/>
        <xdr:cNvSpPr>
          <a:spLocks noChangeShapeType="1"/>
        </xdr:cNvSpPr>
      </xdr:nvSpPr>
      <xdr:spPr bwMode="auto">
        <a:xfrm>
          <a:off x="6305909" y="2562045"/>
          <a:ext cx="25016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405442</xdr:colOff>
      <xdr:row>8</xdr:row>
      <xdr:rowOff>103517</xdr:rowOff>
    </xdr:from>
    <xdr:to>
      <xdr:col>7</xdr:col>
      <xdr:colOff>655608</xdr:colOff>
      <xdr:row>8</xdr:row>
      <xdr:rowOff>103517</xdr:rowOff>
    </xdr:to>
    <xdr:sp macro="" textlink="">
      <xdr:nvSpPr>
        <xdr:cNvPr id="26646" name="Line 22"/>
        <xdr:cNvSpPr>
          <a:spLocks noChangeShapeType="1"/>
        </xdr:cNvSpPr>
      </xdr:nvSpPr>
      <xdr:spPr bwMode="auto">
        <a:xfrm>
          <a:off x="6271404" y="1682151"/>
          <a:ext cx="25016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457200</xdr:colOff>
          <xdr:row>2</xdr:row>
          <xdr:rowOff>25879</xdr:rowOff>
        </xdr:from>
        <xdr:to>
          <xdr:col>6</xdr:col>
          <xdr:colOff>207034</xdr:colOff>
          <xdr:row>4</xdr:row>
          <xdr:rowOff>267419</xdr:rowOff>
        </xdr:to>
        <xdr:sp macro="" textlink="">
          <xdr:nvSpPr>
            <xdr:cNvPr id="27651" name="Object 3" hidden="1">
              <a:extLst>
                <a:ext uri="{63B3BB69-23CF-44E3-9099-C40C66FF867C}">
                  <a14:compatExt spid="_x0000_s27651"/>
                </a:ext>
              </a:extLst>
            </xdr:cNvPr>
            <xdr:cNvSpPr/>
          </xdr:nvSpPr>
          <xdr:spPr>
            <a:xfrm>
              <a:off x="0" y="0"/>
              <a:ext cx="0" cy="0"/>
            </a:xfrm>
            <a:prstGeom prst="rect">
              <a:avLst/>
            </a:prstGeom>
          </xdr:spPr>
        </xdr:sp>
        <xdr:clientData/>
      </xdr:twoCellAnchor>
    </mc:Choice>
    <mc:Fallback/>
  </mc:AlternateContent>
  <xdr:twoCellAnchor>
    <xdr:from>
      <xdr:col>3</xdr:col>
      <xdr:colOff>94891</xdr:colOff>
      <xdr:row>5</xdr:row>
      <xdr:rowOff>0</xdr:rowOff>
    </xdr:from>
    <xdr:to>
      <xdr:col>4</xdr:col>
      <xdr:colOff>414068</xdr:colOff>
      <xdr:row>10</xdr:row>
      <xdr:rowOff>94891</xdr:rowOff>
    </xdr:to>
    <xdr:sp macro="" textlink="">
      <xdr:nvSpPr>
        <xdr:cNvPr id="27652" name="Line 4"/>
        <xdr:cNvSpPr>
          <a:spLocks noChangeShapeType="1"/>
        </xdr:cNvSpPr>
      </xdr:nvSpPr>
      <xdr:spPr bwMode="auto">
        <a:xfrm>
          <a:off x="3122762" y="1095555"/>
          <a:ext cx="1078302" cy="8453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345057</xdr:colOff>
      <xdr:row>12</xdr:row>
      <xdr:rowOff>8626</xdr:rowOff>
    </xdr:from>
    <xdr:to>
      <xdr:col>4</xdr:col>
      <xdr:colOff>293298</xdr:colOff>
      <xdr:row>12</xdr:row>
      <xdr:rowOff>8626</xdr:rowOff>
    </xdr:to>
    <xdr:sp macro="" textlink="">
      <xdr:nvSpPr>
        <xdr:cNvPr id="27653" name="Line 5"/>
        <xdr:cNvSpPr>
          <a:spLocks noChangeShapeType="1"/>
        </xdr:cNvSpPr>
      </xdr:nvSpPr>
      <xdr:spPr bwMode="auto">
        <a:xfrm flipV="1">
          <a:off x="3372928" y="2363638"/>
          <a:ext cx="70736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172528</xdr:colOff>
      <xdr:row>11</xdr:row>
      <xdr:rowOff>25879</xdr:rowOff>
    </xdr:from>
    <xdr:to>
      <xdr:col>3</xdr:col>
      <xdr:colOff>250166</xdr:colOff>
      <xdr:row>13</xdr:row>
      <xdr:rowOff>0</xdr:rowOff>
    </xdr:to>
    <xdr:sp macro="" textlink="">
      <xdr:nvSpPr>
        <xdr:cNvPr id="27654" name="AutoShape 6"/>
        <xdr:cNvSpPr>
          <a:spLocks/>
        </xdr:cNvSpPr>
      </xdr:nvSpPr>
      <xdr:spPr bwMode="auto">
        <a:xfrm>
          <a:off x="3200400" y="2113472"/>
          <a:ext cx="77638" cy="448573"/>
        </a:xfrm>
        <a:prstGeom prst="rightBrace">
          <a:avLst>
            <a:gd name="adj1" fmla="val 481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301925</xdr:colOff>
      <xdr:row>3</xdr:row>
      <xdr:rowOff>51758</xdr:rowOff>
    </xdr:from>
    <xdr:to>
      <xdr:col>7</xdr:col>
      <xdr:colOff>129396</xdr:colOff>
      <xdr:row>4</xdr:row>
      <xdr:rowOff>241540</xdr:rowOff>
    </xdr:to>
    <xdr:sp macro="" textlink="">
      <xdr:nvSpPr>
        <xdr:cNvPr id="27655" name="WordArt 7"/>
        <xdr:cNvSpPr>
          <a:spLocks noChangeArrowheads="1" noChangeShapeType="1" noTextEdit="1"/>
        </xdr:cNvSpPr>
      </xdr:nvSpPr>
      <xdr:spPr bwMode="auto">
        <a:xfrm>
          <a:off x="5607170" y="698740"/>
          <a:ext cx="586596" cy="370935"/>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6</xdr:col>
      <xdr:colOff>621102</xdr:colOff>
      <xdr:row>15</xdr:row>
      <xdr:rowOff>94891</xdr:rowOff>
    </xdr:from>
    <xdr:to>
      <xdr:col>7</xdr:col>
      <xdr:colOff>448574</xdr:colOff>
      <xdr:row>17</xdr:row>
      <xdr:rowOff>155275</xdr:rowOff>
    </xdr:to>
    <xdr:sp macro="" textlink="">
      <xdr:nvSpPr>
        <xdr:cNvPr id="27656" name="WordArt 8"/>
        <xdr:cNvSpPr>
          <a:spLocks noChangeArrowheads="1" noChangeShapeType="1" noTextEdit="1"/>
        </xdr:cNvSpPr>
      </xdr:nvSpPr>
      <xdr:spPr bwMode="auto">
        <a:xfrm>
          <a:off x="5926347" y="2993366"/>
          <a:ext cx="586596" cy="396815"/>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10</xdr:col>
      <xdr:colOff>414068</xdr:colOff>
      <xdr:row>16</xdr:row>
      <xdr:rowOff>25879</xdr:rowOff>
    </xdr:from>
    <xdr:to>
      <xdr:col>11</xdr:col>
      <xdr:colOff>474453</xdr:colOff>
      <xdr:row>17</xdr:row>
      <xdr:rowOff>94891</xdr:rowOff>
    </xdr:to>
    <xdr:sp macro="" textlink="">
      <xdr:nvSpPr>
        <xdr:cNvPr id="27657" name="WordArt 9" descr="Papier Kraft"/>
        <xdr:cNvSpPr>
          <a:spLocks noChangeArrowheads="1" noChangeShapeType="1" noTextEdit="1"/>
        </xdr:cNvSpPr>
      </xdr:nvSpPr>
      <xdr:spPr bwMode="auto">
        <a:xfrm>
          <a:off x="8315864" y="3096883"/>
          <a:ext cx="819510" cy="232913"/>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1"/>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mc:AlternateContent xmlns:mc="http://schemas.openxmlformats.org/markup-compatibility/2006">
    <mc:Choice xmlns:a14="http://schemas.microsoft.com/office/drawing/2010/main" Requires="a14">
      <xdr:twoCellAnchor>
        <xdr:from>
          <xdr:col>4</xdr:col>
          <xdr:colOff>508958</xdr:colOff>
          <xdr:row>10</xdr:row>
          <xdr:rowOff>0</xdr:rowOff>
        </xdr:from>
        <xdr:to>
          <xdr:col>7</xdr:col>
          <xdr:colOff>215660</xdr:colOff>
          <xdr:row>13</xdr:row>
          <xdr:rowOff>94891</xdr:rowOff>
        </xdr:to>
        <xdr:sp macro="" textlink="">
          <xdr:nvSpPr>
            <xdr:cNvPr id="27660" name="Object 12" hidden="1">
              <a:extLst>
                <a:ext uri="{63B3BB69-23CF-44E3-9099-C40C66FF867C}">
                  <a14:compatExt spid="_x0000_s276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439947</xdr:colOff>
          <xdr:row>16</xdr:row>
          <xdr:rowOff>112143</xdr:rowOff>
        </xdr:from>
        <xdr:to>
          <xdr:col>6</xdr:col>
          <xdr:colOff>526211</xdr:colOff>
          <xdr:row>20</xdr:row>
          <xdr:rowOff>103517</xdr:rowOff>
        </xdr:to>
        <xdr:sp macro="" textlink="">
          <xdr:nvSpPr>
            <xdr:cNvPr id="27661" name="Object 13" hidden="1">
              <a:extLst>
                <a:ext uri="{63B3BB69-23CF-44E3-9099-C40C66FF867C}">
                  <a14:compatExt spid="_x0000_s27661"/>
                </a:ext>
              </a:extLst>
            </xdr:cNvPr>
            <xdr:cNvSpPr/>
          </xdr:nvSpPr>
          <xdr:spPr>
            <a:xfrm>
              <a:off x="0" y="0"/>
              <a:ext cx="0" cy="0"/>
            </a:xfrm>
            <a:prstGeom prst="rect">
              <a:avLst/>
            </a:prstGeom>
          </xdr:spPr>
        </xdr:sp>
        <xdr:clientData/>
      </xdr:twoCellAnchor>
    </mc:Choice>
    <mc:Fallback/>
  </mc:AlternateContent>
  <xdr:twoCellAnchor>
    <xdr:from>
      <xdr:col>8</xdr:col>
      <xdr:colOff>129396</xdr:colOff>
      <xdr:row>12</xdr:row>
      <xdr:rowOff>8626</xdr:rowOff>
    </xdr:from>
    <xdr:to>
      <xdr:col>8</xdr:col>
      <xdr:colOff>750498</xdr:colOff>
      <xdr:row>12</xdr:row>
      <xdr:rowOff>8626</xdr:rowOff>
    </xdr:to>
    <xdr:sp macro="" textlink="">
      <xdr:nvSpPr>
        <xdr:cNvPr id="27662" name="Line 14"/>
        <xdr:cNvSpPr>
          <a:spLocks noChangeShapeType="1"/>
        </xdr:cNvSpPr>
      </xdr:nvSpPr>
      <xdr:spPr bwMode="auto">
        <a:xfrm>
          <a:off x="6952891" y="2363638"/>
          <a:ext cx="621101"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526211</xdr:colOff>
          <xdr:row>7</xdr:row>
          <xdr:rowOff>60385</xdr:rowOff>
        </xdr:from>
        <xdr:to>
          <xdr:col>7</xdr:col>
          <xdr:colOff>172528</xdr:colOff>
          <xdr:row>9</xdr:row>
          <xdr:rowOff>60385</xdr:rowOff>
        </xdr:to>
        <xdr:sp macro="" textlink="">
          <xdr:nvSpPr>
            <xdr:cNvPr id="27667" name="Object 19" hidden="1">
              <a:extLst>
                <a:ext uri="{63B3BB69-23CF-44E3-9099-C40C66FF867C}">
                  <a14:compatExt spid="_x0000_s27667"/>
                </a:ext>
              </a:extLst>
            </xdr:cNvPr>
            <xdr:cNvSpPr/>
          </xdr:nvSpPr>
          <xdr:spPr>
            <a:xfrm>
              <a:off x="0" y="0"/>
              <a:ext cx="0" cy="0"/>
            </a:xfrm>
            <a:prstGeom prst="rect">
              <a:avLst/>
            </a:prstGeom>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595223</xdr:colOff>
          <xdr:row>1</xdr:row>
          <xdr:rowOff>94891</xdr:rowOff>
        </xdr:from>
        <xdr:to>
          <xdr:col>5</xdr:col>
          <xdr:colOff>353683</xdr:colOff>
          <xdr:row>4</xdr:row>
          <xdr:rowOff>146649</xdr:rowOff>
        </xdr:to>
        <xdr:sp macro="" textlink="">
          <xdr:nvSpPr>
            <xdr:cNvPr id="28673" name="Object 1" hidden="1">
              <a:extLst>
                <a:ext uri="{63B3BB69-23CF-44E3-9099-C40C66FF867C}">
                  <a14:compatExt spid="_x0000_s28673"/>
                </a:ext>
              </a:extLst>
            </xdr:cNvPr>
            <xdr:cNvSpPr/>
          </xdr:nvSpPr>
          <xdr:spPr>
            <a:xfrm>
              <a:off x="0" y="0"/>
              <a:ext cx="0" cy="0"/>
            </a:xfrm>
            <a:prstGeom prst="rect">
              <a:avLst/>
            </a:prstGeom>
          </xdr:spPr>
        </xdr:sp>
        <xdr:clientData/>
      </xdr:twoCellAnchor>
    </mc:Choice>
    <mc:Fallback/>
  </mc:AlternateContent>
  <xdr:twoCellAnchor>
    <xdr:from>
      <xdr:col>3</xdr:col>
      <xdr:colOff>94891</xdr:colOff>
      <xdr:row>5</xdr:row>
      <xdr:rowOff>0</xdr:rowOff>
    </xdr:from>
    <xdr:to>
      <xdr:col>4</xdr:col>
      <xdr:colOff>414068</xdr:colOff>
      <xdr:row>10</xdr:row>
      <xdr:rowOff>94891</xdr:rowOff>
    </xdr:to>
    <xdr:sp macro="" textlink="">
      <xdr:nvSpPr>
        <xdr:cNvPr id="28674" name="Line 2"/>
        <xdr:cNvSpPr>
          <a:spLocks noChangeShapeType="1"/>
        </xdr:cNvSpPr>
      </xdr:nvSpPr>
      <xdr:spPr bwMode="auto">
        <a:xfrm>
          <a:off x="2924355" y="1078302"/>
          <a:ext cx="1078302" cy="10524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345057</xdr:colOff>
      <xdr:row>12</xdr:row>
      <xdr:rowOff>8626</xdr:rowOff>
    </xdr:from>
    <xdr:to>
      <xdr:col>4</xdr:col>
      <xdr:colOff>362309</xdr:colOff>
      <xdr:row>13</xdr:row>
      <xdr:rowOff>60385</xdr:rowOff>
    </xdr:to>
    <xdr:sp macro="" textlink="">
      <xdr:nvSpPr>
        <xdr:cNvPr id="28675" name="Line 3"/>
        <xdr:cNvSpPr>
          <a:spLocks noChangeShapeType="1"/>
        </xdr:cNvSpPr>
      </xdr:nvSpPr>
      <xdr:spPr bwMode="auto">
        <a:xfrm>
          <a:off x="3174521" y="2553419"/>
          <a:ext cx="776377" cy="25879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172528</xdr:colOff>
      <xdr:row>11</xdr:row>
      <xdr:rowOff>25879</xdr:rowOff>
    </xdr:from>
    <xdr:to>
      <xdr:col>3</xdr:col>
      <xdr:colOff>250166</xdr:colOff>
      <xdr:row>13</xdr:row>
      <xdr:rowOff>0</xdr:rowOff>
    </xdr:to>
    <xdr:sp macro="" textlink="">
      <xdr:nvSpPr>
        <xdr:cNvPr id="28676" name="AutoShape 4"/>
        <xdr:cNvSpPr>
          <a:spLocks/>
        </xdr:cNvSpPr>
      </xdr:nvSpPr>
      <xdr:spPr bwMode="auto">
        <a:xfrm>
          <a:off x="3001992" y="2303253"/>
          <a:ext cx="77638" cy="448573"/>
        </a:xfrm>
        <a:prstGeom prst="rightBrace">
          <a:avLst>
            <a:gd name="adj1" fmla="val 481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362309</xdr:colOff>
      <xdr:row>1</xdr:row>
      <xdr:rowOff>155275</xdr:rowOff>
    </xdr:from>
    <xdr:to>
      <xdr:col>6</xdr:col>
      <xdr:colOff>189781</xdr:colOff>
      <xdr:row>3</xdr:row>
      <xdr:rowOff>155275</xdr:rowOff>
    </xdr:to>
    <xdr:sp macro="" textlink="">
      <xdr:nvSpPr>
        <xdr:cNvPr id="28677" name="WordArt 5"/>
        <xdr:cNvSpPr>
          <a:spLocks noChangeArrowheads="1" noChangeShapeType="1" noTextEdit="1"/>
        </xdr:cNvSpPr>
      </xdr:nvSpPr>
      <xdr:spPr bwMode="auto">
        <a:xfrm>
          <a:off x="4710023" y="422694"/>
          <a:ext cx="586596" cy="362310"/>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3</xdr:col>
      <xdr:colOff>646981</xdr:colOff>
      <xdr:row>19</xdr:row>
      <xdr:rowOff>34506</xdr:rowOff>
    </xdr:from>
    <xdr:to>
      <xdr:col>4</xdr:col>
      <xdr:colOff>474453</xdr:colOff>
      <xdr:row>21</xdr:row>
      <xdr:rowOff>94891</xdr:rowOff>
    </xdr:to>
    <xdr:sp macro="" textlink="">
      <xdr:nvSpPr>
        <xdr:cNvPr id="28678" name="WordArt 6"/>
        <xdr:cNvSpPr>
          <a:spLocks noChangeArrowheads="1" noChangeShapeType="1" noTextEdit="1"/>
        </xdr:cNvSpPr>
      </xdr:nvSpPr>
      <xdr:spPr bwMode="auto">
        <a:xfrm>
          <a:off x="3476445" y="3786996"/>
          <a:ext cx="586597" cy="388189"/>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10</xdr:col>
      <xdr:colOff>414068</xdr:colOff>
      <xdr:row>16</xdr:row>
      <xdr:rowOff>25879</xdr:rowOff>
    </xdr:from>
    <xdr:to>
      <xdr:col>11</xdr:col>
      <xdr:colOff>474453</xdr:colOff>
      <xdr:row>17</xdr:row>
      <xdr:rowOff>94891</xdr:rowOff>
    </xdr:to>
    <xdr:sp macro="" textlink="">
      <xdr:nvSpPr>
        <xdr:cNvPr id="28679" name="WordArt 7" descr="Papier Kraft"/>
        <xdr:cNvSpPr>
          <a:spLocks noChangeArrowheads="1" noChangeShapeType="1" noTextEdit="1"/>
        </xdr:cNvSpPr>
      </xdr:nvSpPr>
      <xdr:spPr bwMode="auto">
        <a:xfrm>
          <a:off x="8117457" y="3286664"/>
          <a:ext cx="819509" cy="232913"/>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1"/>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mc:AlternateContent xmlns:mc="http://schemas.openxmlformats.org/markup-compatibility/2006">
    <mc:Choice xmlns:a14="http://schemas.microsoft.com/office/drawing/2010/main" Requires="a14">
      <xdr:twoCellAnchor>
        <xdr:from>
          <xdr:col>4</xdr:col>
          <xdr:colOff>431321</xdr:colOff>
          <xdr:row>7</xdr:row>
          <xdr:rowOff>77638</xdr:rowOff>
        </xdr:from>
        <xdr:to>
          <xdr:col>7</xdr:col>
          <xdr:colOff>293298</xdr:colOff>
          <xdr:row>9</xdr:row>
          <xdr:rowOff>25879</xdr:rowOff>
        </xdr:to>
        <xdr:sp macro="" textlink="">
          <xdr:nvSpPr>
            <xdr:cNvPr id="28680" name="Object 8" hidden="1">
              <a:extLst>
                <a:ext uri="{63B3BB69-23CF-44E3-9099-C40C66FF867C}">
                  <a14:compatExt spid="_x0000_s28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439947</xdr:colOff>
          <xdr:row>16</xdr:row>
          <xdr:rowOff>112143</xdr:rowOff>
        </xdr:from>
        <xdr:to>
          <xdr:col>6</xdr:col>
          <xdr:colOff>526211</xdr:colOff>
          <xdr:row>20</xdr:row>
          <xdr:rowOff>103517</xdr:rowOff>
        </xdr:to>
        <xdr:sp macro="" textlink="">
          <xdr:nvSpPr>
            <xdr:cNvPr id="28682" name="Object 10" hidden="1">
              <a:extLst>
                <a:ext uri="{63B3BB69-23CF-44E3-9099-C40C66FF867C}">
                  <a14:compatExt spid="_x0000_s28682"/>
                </a:ext>
              </a:extLst>
            </xdr:cNvPr>
            <xdr:cNvSpPr/>
          </xdr:nvSpPr>
          <xdr:spPr>
            <a:xfrm>
              <a:off x="0" y="0"/>
              <a:ext cx="0" cy="0"/>
            </a:xfrm>
            <a:prstGeom prst="rect">
              <a:avLst/>
            </a:prstGeom>
          </xdr:spPr>
        </xdr:sp>
        <xdr:clientData/>
      </xdr:twoCellAnchor>
    </mc:Choice>
    <mc:Fallback/>
  </mc:AlternateContent>
  <xdr:twoCellAnchor>
    <xdr:from>
      <xdr:col>8</xdr:col>
      <xdr:colOff>129396</xdr:colOff>
      <xdr:row>12</xdr:row>
      <xdr:rowOff>8626</xdr:rowOff>
    </xdr:from>
    <xdr:to>
      <xdr:col>8</xdr:col>
      <xdr:colOff>750498</xdr:colOff>
      <xdr:row>12</xdr:row>
      <xdr:rowOff>8626</xdr:rowOff>
    </xdr:to>
    <xdr:sp macro="" textlink="">
      <xdr:nvSpPr>
        <xdr:cNvPr id="28683" name="Line 11"/>
        <xdr:cNvSpPr>
          <a:spLocks noChangeShapeType="1"/>
        </xdr:cNvSpPr>
      </xdr:nvSpPr>
      <xdr:spPr bwMode="auto">
        <a:xfrm>
          <a:off x="6754483" y="2553419"/>
          <a:ext cx="621102"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543464</xdr:colOff>
          <xdr:row>10</xdr:row>
          <xdr:rowOff>129396</xdr:rowOff>
        </xdr:from>
        <xdr:to>
          <xdr:col>6</xdr:col>
          <xdr:colOff>543464</xdr:colOff>
          <xdr:row>15</xdr:row>
          <xdr:rowOff>8626</xdr:rowOff>
        </xdr:to>
        <xdr:sp macro="" textlink="">
          <xdr:nvSpPr>
            <xdr:cNvPr id="28687" name="Object 15" hidden="1">
              <a:extLst>
                <a:ext uri="{63B3BB69-23CF-44E3-9099-C40C66FF867C}">
                  <a14:compatExt spid="_x0000_s28687"/>
                </a:ext>
              </a:extLst>
            </xdr:cNvPr>
            <xdr:cNvSpPr/>
          </xdr:nvSpPr>
          <xdr:spPr>
            <a:xfrm>
              <a:off x="0" y="0"/>
              <a:ext cx="0" cy="0"/>
            </a:xfrm>
            <a:prstGeom prst="rect">
              <a:avLst/>
            </a:prstGeom>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xdr:twoCellAnchor>
    <xdr:from>
      <xdr:col>24</xdr:col>
      <xdr:colOff>577970</xdr:colOff>
      <xdr:row>88</xdr:row>
      <xdr:rowOff>129396</xdr:rowOff>
    </xdr:from>
    <xdr:to>
      <xdr:col>32</xdr:col>
      <xdr:colOff>198408</xdr:colOff>
      <xdr:row>108</xdr:row>
      <xdr:rowOff>51758</xdr:rowOff>
    </xdr:to>
    <xdr:graphicFrame macro="">
      <xdr:nvGraphicFramePr>
        <xdr:cNvPr id="7475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8626</xdr:rowOff>
        </xdr:from>
        <xdr:to>
          <xdr:col>2</xdr:col>
          <xdr:colOff>879894</xdr:colOff>
          <xdr:row>8</xdr:row>
          <xdr:rowOff>8626</xdr:rowOff>
        </xdr:to>
        <xdr:sp macro="" textlink="">
          <xdr:nvSpPr>
            <xdr:cNvPr id="74762" name="Drop Down 10" hidden="1">
              <a:extLst>
                <a:ext uri="{63B3BB69-23CF-44E3-9099-C40C66FF867C}">
                  <a14:compatExt spid="_x0000_s74762"/>
                </a:ext>
              </a:extLst>
            </xdr:cNvPr>
            <xdr:cNvSpPr/>
          </xdr:nvSpPr>
          <xdr:spPr>
            <a:xfrm>
              <a:off x="0" y="0"/>
              <a:ext cx="0" cy="0"/>
            </a:xfrm>
            <a:prstGeom prst="rect">
              <a:avLst/>
            </a:prstGeom>
          </xdr:spPr>
        </xdr:sp>
        <xdr:clientData/>
      </xdr:twoCellAnchor>
    </mc:Choice>
    <mc:Fallback/>
  </mc:AlternateContent>
  <xdr:twoCellAnchor>
    <xdr:from>
      <xdr:col>2</xdr:col>
      <xdr:colOff>474453</xdr:colOff>
      <xdr:row>10</xdr:row>
      <xdr:rowOff>103517</xdr:rowOff>
    </xdr:from>
    <xdr:to>
      <xdr:col>2</xdr:col>
      <xdr:colOff>698740</xdr:colOff>
      <xdr:row>19</xdr:row>
      <xdr:rowOff>103517</xdr:rowOff>
    </xdr:to>
    <xdr:sp macro="" textlink="">
      <xdr:nvSpPr>
        <xdr:cNvPr id="74766" name="AutoShape 14"/>
        <xdr:cNvSpPr>
          <a:spLocks/>
        </xdr:cNvSpPr>
      </xdr:nvSpPr>
      <xdr:spPr bwMode="auto">
        <a:xfrm>
          <a:off x="3614468" y="2216989"/>
          <a:ext cx="224287" cy="1794294"/>
        </a:xfrm>
        <a:prstGeom prst="rightBrace">
          <a:avLst>
            <a:gd name="adj1" fmla="val 66667"/>
            <a:gd name="adj2" fmla="val 50000"/>
          </a:avLst>
        </a:prstGeom>
        <a:noFill/>
        <a:ln w="9525">
          <a:solidFill>
            <a:srgbClr val="000000"/>
          </a:solidFill>
          <a:round/>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53640926-AAD7-44D8-BBD7-CCE9431645EC}">
            <a14:shadowObscured xmlns:a14="http://schemas.microsoft.com/office/drawing/2010/main" val="1"/>
          </a:ext>
        </a:extLst>
      </xdr:spPr>
    </xdr:sp>
    <xdr:clientData/>
  </xdr:twoCellAnchor>
</xdr:wsDr>
</file>

<file path=xl/drawings/drawing36.xml><?xml version="1.0" encoding="utf-8"?>
<xdr:wsDr xmlns:xdr="http://schemas.openxmlformats.org/drawingml/2006/spreadsheetDrawing" xmlns:a="http://schemas.openxmlformats.org/drawingml/2006/main">
  <xdr:twoCellAnchor>
    <xdr:from>
      <xdr:col>3</xdr:col>
      <xdr:colOff>94891</xdr:colOff>
      <xdr:row>5</xdr:row>
      <xdr:rowOff>0</xdr:rowOff>
    </xdr:from>
    <xdr:to>
      <xdr:col>4</xdr:col>
      <xdr:colOff>414068</xdr:colOff>
      <xdr:row>10</xdr:row>
      <xdr:rowOff>94891</xdr:rowOff>
    </xdr:to>
    <xdr:sp macro="" textlink="">
      <xdr:nvSpPr>
        <xdr:cNvPr id="29698" name="Line 2"/>
        <xdr:cNvSpPr>
          <a:spLocks noChangeShapeType="1"/>
        </xdr:cNvSpPr>
      </xdr:nvSpPr>
      <xdr:spPr bwMode="auto">
        <a:xfrm>
          <a:off x="2639683" y="1095555"/>
          <a:ext cx="1078302" cy="1052422"/>
        </a:xfrm>
        <a:prstGeom prst="line">
          <a:avLst/>
        </a:prstGeom>
        <a:noFill/>
        <a:ln w="28575">
          <a:solidFill>
            <a:srgbClr xmlns:mc="http://schemas.openxmlformats.org/markup-compatibility/2006" xmlns:a14="http://schemas.microsoft.com/office/drawing/2010/main" val="3366FF" mc:Ignorable="a14" a14:legacySpreadsheetColorIndex="48"/>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345057</xdr:colOff>
      <xdr:row>12</xdr:row>
      <xdr:rowOff>8626</xdr:rowOff>
    </xdr:from>
    <xdr:to>
      <xdr:col>4</xdr:col>
      <xdr:colOff>293298</xdr:colOff>
      <xdr:row>12</xdr:row>
      <xdr:rowOff>8626</xdr:rowOff>
    </xdr:to>
    <xdr:sp macro="" textlink="">
      <xdr:nvSpPr>
        <xdr:cNvPr id="29699" name="Line 3"/>
        <xdr:cNvSpPr>
          <a:spLocks noChangeShapeType="1"/>
        </xdr:cNvSpPr>
      </xdr:nvSpPr>
      <xdr:spPr bwMode="auto">
        <a:xfrm flipV="1">
          <a:off x="2889849" y="2570672"/>
          <a:ext cx="707366" cy="0"/>
        </a:xfrm>
        <a:prstGeom prst="line">
          <a:avLst/>
        </a:prstGeom>
        <a:noFill/>
        <a:ln w="28575">
          <a:solidFill>
            <a:srgbClr xmlns:mc="http://schemas.openxmlformats.org/markup-compatibility/2006" xmlns:a14="http://schemas.microsoft.com/office/drawing/2010/main" val="3366FF" mc:Ignorable="a14" a14:legacySpreadsheetColorIndex="48"/>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172528</xdr:colOff>
      <xdr:row>11</xdr:row>
      <xdr:rowOff>25879</xdr:rowOff>
    </xdr:from>
    <xdr:to>
      <xdr:col>3</xdr:col>
      <xdr:colOff>250166</xdr:colOff>
      <xdr:row>13</xdr:row>
      <xdr:rowOff>0</xdr:rowOff>
    </xdr:to>
    <xdr:sp macro="" textlink="">
      <xdr:nvSpPr>
        <xdr:cNvPr id="29700" name="AutoShape 4"/>
        <xdr:cNvSpPr>
          <a:spLocks/>
        </xdr:cNvSpPr>
      </xdr:nvSpPr>
      <xdr:spPr bwMode="auto">
        <a:xfrm>
          <a:off x="2717321" y="2320506"/>
          <a:ext cx="77637" cy="448573"/>
        </a:xfrm>
        <a:prstGeom prst="rightBrace">
          <a:avLst>
            <a:gd name="adj1" fmla="val 4814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301925</xdr:colOff>
      <xdr:row>3</xdr:row>
      <xdr:rowOff>51758</xdr:rowOff>
    </xdr:from>
    <xdr:to>
      <xdr:col>7</xdr:col>
      <xdr:colOff>129396</xdr:colOff>
      <xdr:row>4</xdr:row>
      <xdr:rowOff>241540</xdr:rowOff>
    </xdr:to>
    <xdr:sp macro="" textlink="">
      <xdr:nvSpPr>
        <xdr:cNvPr id="29701" name="WordArt 5"/>
        <xdr:cNvSpPr>
          <a:spLocks noChangeArrowheads="1" noChangeShapeType="1" noTextEdit="1"/>
        </xdr:cNvSpPr>
      </xdr:nvSpPr>
      <xdr:spPr bwMode="auto">
        <a:xfrm>
          <a:off x="5124091" y="681487"/>
          <a:ext cx="586596" cy="379562"/>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6</xdr:col>
      <xdr:colOff>457200</xdr:colOff>
      <xdr:row>17</xdr:row>
      <xdr:rowOff>129396</xdr:rowOff>
    </xdr:from>
    <xdr:to>
      <xdr:col>7</xdr:col>
      <xdr:colOff>284672</xdr:colOff>
      <xdr:row>20</xdr:row>
      <xdr:rowOff>17253</xdr:rowOff>
    </xdr:to>
    <xdr:sp macro="" textlink="">
      <xdr:nvSpPr>
        <xdr:cNvPr id="29702" name="WordArt 6"/>
        <xdr:cNvSpPr>
          <a:spLocks noChangeArrowheads="1" noChangeShapeType="1" noTextEdit="1"/>
        </xdr:cNvSpPr>
      </xdr:nvSpPr>
      <xdr:spPr bwMode="auto">
        <a:xfrm>
          <a:off x="5279366" y="3554083"/>
          <a:ext cx="586596" cy="379562"/>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10</xdr:col>
      <xdr:colOff>414068</xdr:colOff>
      <xdr:row>16</xdr:row>
      <xdr:rowOff>25879</xdr:rowOff>
    </xdr:from>
    <xdr:to>
      <xdr:col>11</xdr:col>
      <xdr:colOff>474453</xdr:colOff>
      <xdr:row>17</xdr:row>
      <xdr:rowOff>94891</xdr:rowOff>
    </xdr:to>
    <xdr:sp macro="" textlink="">
      <xdr:nvSpPr>
        <xdr:cNvPr id="29703" name="WordArt 7" descr="Papier Kraft"/>
        <xdr:cNvSpPr>
          <a:spLocks noChangeArrowheads="1" noChangeShapeType="1" noTextEdit="1"/>
        </xdr:cNvSpPr>
      </xdr:nvSpPr>
      <xdr:spPr bwMode="auto">
        <a:xfrm>
          <a:off x="7832785" y="3286664"/>
          <a:ext cx="819509" cy="232913"/>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1"/>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xdr:twoCellAnchor>
    <xdr:from>
      <xdr:col>8</xdr:col>
      <xdr:colOff>129396</xdr:colOff>
      <xdr:row>12</xdr:row>
      <xdr:rowOff>8626</xdr:rowOff>
    </xdr:from>
    <xdr:to>
      <xdr:col>8</xdr:col>
      <xdr:colOff>750498</xdr:colOff>
      <xdr:row>12</xdr:row>
      <xdr:rowOff>8626</xdr:rowOff>
    </xdr:to>
    <xdr:sp macro="" textlink="">
      <xdr:nvSpPr>
        <xdr:cNvPr id="29706" name="Line 10"/>
        <xdr:cNvSpPr>
          <a:spLocks noChangeShapeType="1"/>
        </xdr:cNvSpPr>
      </xdr:nvSpPr>
      <xdr:spPr bwMode="auto">
        <a:xfrm>
          <a:off x="6469811" y="2570672"/>
          <a:ext cx="621102"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491706</xdr:colOff>
          <xdr:row>10</xdr:row>
          <xdr:rowOff>103517</xdr:rowOff>
        </xdr:from>
        <xdr:to>
          <xdr:col>6</xdr:col>
          <xdr:colOff>362309</xdr:colOff>
          <xdr:row>15</xdr:row>
          <xdr:rowOff>0</xdr:rowOff>
        </xdr:to>
        <xdr:sp macro="" textlink="">
          <xdr:nvSpPr>
            <xdr:cNvPr id="29711" name="Object 15" hidden="1">
              <a:extLst>
                <a:ext uri="{63B3BB69-23CF-44E3-9099-C40C66FF867C}">
                  <a14:compatExt spid="_x0000_s297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465826</xdr:colOff>
          <xdr:row>18</xdr:row>
          <xdr:rowOff>155275</xdr:rowOff>
        </xdr:from>
        <xdr:to>
          <xdr:col>6</xdr:col>
          <xdr:colOff>310551</xdr:colOff>
          <xdr:row>22</xdr:row>
          <xdr:rowOff>146649</xdr:rowOff>
        </xdr:to>
        <xdr:sp macro="" textlink="">
          <xdr:nvSpPr>
            <xdr:cNvPr id="29712" name="Object 16" hidden="1">
              <a:extLst>
                <a:ext uri="{63B3BB69-23CF-44E3-9099-C40C66FF867C}">
                  <a14:compatExt spid="_x0000_s297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508958</xdr:colOff>
          <xdr:row>1</xdr:row>
          <xdr:rowOff>129396</xdr:rowOff>
        </xdr:from>
        <xdr:to>
          <xdr:col>6</xdr:col>
          <xdr:colOff>172528</xdr:colOff>
          <xdr:row>5</xdr:row>
          <xdr:rowOff>8626</xdr:rowOff>
        </xdr:to>
        <xdr:sp macro="" textlink="">
          <xdr:nvSpPr>
            <xdr:cNvPr id="29713" name="Object 17" hidden="1">
              <a:extLst>
                <a:ext uri="{63B3BB69-23CF-44E3-9099-C40C66FF867C}">
                  <a14:compatExt spid="_x0000_s297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491706</xdr:colOff>
          <xdr:row>7</xdr:row>
          <xdr:rowOff>77638</xdr:rowOff>
        </xdr:from>
        <xdr:to>
          <xdr:col>6</xdr:col>
          <xdr:colOff>750498</xdr:colOff>
          <xdr:row>9</xdr:row>
          <xdr:rowOff>181155</xdr:rowOff>
        </xdr:to>
        <xdr:sp macro="" textlink="">
          <xdr:nvSpPr>
            <xdr:cNvPr id="29717" name="Object 21" hidden="1">
              <a:extLst>
                <a:ext uri="{63B3BB69-23CF-44E3-9099-C40C66FF867C}">
                  <a14:compatExt spid="_x0000_s29717"/>
                </a:ext>
              </a:extLst>
            </xdr:cNvPr>
            <xdr:cNvSpPr/>
          </xdr:nvSpPr>
          <xdr:spPr>
            <a:xfrm>
              <a:off x="0" y="0"/>
              <a:ext cx="0" cy="0"/>
            </a:xfrm>
            <a:prstGeom prst="rect">
              <a:avLst/>
            </a:prstGeom>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xdr:twoCellAnchor>
    <xdr:from>
      <xdr:col>3</xdr:col>
      <xdr:colOff>94891</xdr:colOff>
      <xdr:row>5</xdr:row>
      <xdr:rowOff>0</xdr:rowOff>
    </xdr:from>
    <xdr:to>
      <xdr:col>4</xdr:col>
      <xdr:colOff>414068</xdr:colOff>
      <xdr:row>10</xdr:row>
      <xdr:rowOff>94891</xdr:rowOff>
    </xdr:to>
    <xdr:sp macro="" textlink="">
      <xdr:nvSpPr>
        <xdr:cNvPr id="31745" name="Line 1"/>
        <xdr:cNvSpPr>
          <a:spLocks noChangeShapeType="1"/>
        </xdr:cNvSpPr>
      </xdr:nvSpPr>
      <xdr:spPr bwMode="auto">
        <a:xfrm>
          <a:off x="3209026" y="1078302"/>
          <a:ext cx="1078302" cy="1086928"/>
        </a:xfrm>
        <a:prstGeom prst="line">
          <a:avLst/>
        </a:prstGeom>
        <a:noFill/>
        <a:ln w="19050">
          <a:solidFill>
            <a:srgbClr xmlns:mc="http://schemas.openxmlformats.org/markup-compatibility/2006" xmlns:a14="http://schemas.microsoft.com/office/drawing/2010/main" val="3366FF" mc:Ignorable="a14" a14:legacySpreadsheetColorIndex="48"/>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345057</xdr:colOff>
      <xdr:row>12</xdr:row>
      <xdr:rowOff>8626</xdr:rowOff>
    </xdr:from>
    <xdr:to>
      <xdr:col>4</xdr:col>
      <xdr:colOff>293298</xdr:colOff>
      <xdr:row>12</xdr:row>
      <xdr:rowOff>8626</xdr:rowOff>
    </xdr:to>
    <xdr:sp macro="" textlink="">
      <xdr:nvSpPr>
        <xdr:cNvPr id="31746" name="Line 2"/>
        <xdr:cNvSpPr>
          <a:spLocks noChangeShapeType="1"/>
        </xdr:cNvSpPr>
      </xdr:nvSpPr>
      <xdr:spPr bwMode="auto">
        <a:xfrm flipV="1">
          <a:off x="3459192" y="2587925"/>
          <a:ext cx="707366" cy="0"/>
        </a:xfrm>
        <a:prstGeom prst="line">
          <a:avLst/>
        </a:prstGeom>
        <a:noFill/>
        <a:ln w="19050">
          <a:solidFill>
            <a:srgbClr xmlns:mc="http://schemas.openxmlformats.org/markup-compatibility/2006" xmlns:a14="http://schemas.microsoft.com/office/drawing/2010/main" val="3366FF" mc:Ignorable="a14" a14:legacySpreadsheetColorIndex="48"/>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172528</xdr:colOff>
      <xdr:row>11</xdr:row>
      <xdr:rowOff>25879</xdr:rowOff>
    </xdr:from>
    <xdr:to>
      <xdr:col>3</xdr:col>
      <xdr:colOff>250166</xdr:colOff>
      <xdr:row>13</xdr:row>
      <xdr:rowOff>0</xdr:rowOff>
    </xdr:to>
    <xdr:sp macro="" textlink="">
      <xdr:nvSpPr>
        <xdr:cNvPr id="31747" name="AutoShape 3"/>
        <xdr:cNvSpPr>
          <a:spLocks/>
        </xdr:cNvSpPr>
      </xdr:nvSpPr>
      <xdr:spPr bwMode="auto">
        <a:xfrm>
          <a:off x="3286664" y="2337758"/>
          <a:ext cx="77638" cy="448574"/>
        </a:xfrm>
        <a:prstGeom prst="rightBrace">
          <a:avLst>
            <a:gd name="adj1" fmla="val 481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500332</xdr:colOff>
      <xdr:row>1</xdr:row>
      <xdr:rowOff>8626</xdr:rowOff>
    </xdr:from>
    <xdr:to>
      <xdr:col>7</xdr:col>
      <xdr:colOff>336430</xdr:colOff>
      <xdr:row>3</xdr:row>
      <xdr:rowOff>8626</xdr:rowOff>
    </xdr:to>
    <xdr:sp macro="" textlink="">
      <xdr:nvSpPr>
        <xdr:cNvPr id="31748" name="WordArt 4"/>
        <xdr:cNvSpPr>
          <a:spLocks noChangeArrowheads="1" noChangeShapeType="1" noTextEdit="1"/>
        </xdr:cNvSpPr>
      </xdr:nvSpPr>
      <xdr:spPr bwMode="auto">
        <a:xfrm>
          <a:off x="5891842" y="276045"/>
          <a:ext cx="595222" cy="362310"/>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6</xdr:col>
      <xdr:colOff>595223</xdr:colOff>
      <xdr:row>17</xdr:row>
      <xdr:rowOff>69011</xdr:rowOff>
    </xdr:from>
    <xdr:to>
      <xdr:col>7</xdr:col>
      <xdr:colOff>431321</xdr:colOff>
      <xdr:row>19</xdr:row>
      <xdr:rowOff>129396</xdr:rowOff>
    </xdr:to>
    <xdr:sp macro="" textlink="">
      <xdr:nvSpPr>
        <xdr:cNvPr id="31749" name="WordArt 5"/>
        <xdr:cNvSpPr>
          <a:spLocks noChangeArrowheads="1" noChangeShapeType="1" noTextEdit="1"/>
        </xdr:cNvSpPr>
      </xdr:nvSpPr>
      <xdr:spPr bwMode="auto">
        <a:xfrm>
          <a:off x="5986732" y="3510951"/>
          <a:ext cx="595223" cy="405441"/>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10</xdr:col>
      <xdr:colOff>414068</xdr:colOff>
      <xdr:row>16</xdr:row>
      <xdr:rowOff>25879</xdr:rowOff>
    </xdr:from>
    <xdr:to>
      <xdr:col>11</xdr:col>
      <xdr:colOff>474453</xdr:colOff>
      <xdr:row>17</xdr:row>
      <xdr:rowOff>94891</xdr:rowOff>
    </xdr:to>
    <xdr:sp macro="" textlink="">
      <xdr:nvSpPr>
        <xdr:cNvPr id="31750" name="WordArt 6" descr="Papier Kraft"/>
        <xdr:cNvSpPr>
          <a:spLocks noChangeArrowheads="1" noChangeShapeType="1" noTextEdit="1"/>
        </xdr:cNvSpPr>
      </xdr:nvSpPr>
      <xdr:spPr bwMode="auto">
        <a:xfrm>
          <a:off x="8402128" y="3303917"/>
          <a:ext cx="819510" cy="232913"/>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1"/>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xdr:twoCellAnchor>
    <xdr:from>
      <xdr:col>8</xdr:col>
      <xdr:colOff>129396</xdr:colOff>
      <xdr:row>12</xdr:row>
      <xdr:rowOff>8626</xdr:rowOff>
    </xdr:from>
    <xdr:to>
      <xdr:col>8</xdr:col>
      <xdr:colOff>750498</xdr:colOff>
      <xdr:row>12</xdr:row>
      <xdr:rowOff>8626</xdr:rowOff>
    </xdr:to>
    <xdr:sp macro="" textlink="">
      <xdr:nvSpPr>
        <xdr:cNvPr id="31751" name="Line 7"/>
        <xdr:cNvSpPr>
          <a:spLocks noChangeShapeType="1"/>
        </xdr:cNvSpPr>
      </xdr:nvSpPr>
      <xdr:spPr bwMode="auto">
        <a:xfrm>
          <a:off x="7039155" y="2587925"/>
          <a:ext cx="621102"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483079</xdr:colOff>
          <xdr:row>3</xdr:row>
          <xdr:rowOff>60385</xdr:rowOff>
        </xdr:from>
        <xdr:to>
          <xdr:col>6</xdr:col>
          <xdr:colOff>672860</xdr:colOff>
          <xdr:row>7</xdr:row>
          <xdr:rowOff>0</xdr:rowOff>
        </xdr:to>
        <xdr:sp macro="" textlink="">
          <xdr:nvSpPr>
            <xdr:cNvPr id="31754" name="Object 10" hidden="1">
              <a:extLst>
                <a:ext uri="{63B3BB69-23CF-44E3-9099-C40C66FF867C}">
                  <a14:compatExt spid="_x0000_s317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526211</xdr:colOff>
          <xdr:row>10</xdr:row>
          <xdr:rowOff>155275</xdr:rowOff>
        </xdr:from>
        <xdr:to>
          <xdr:col>6</xdr:col>
          <xdr:colOff>552091</xdr:colOff>
          <xdr:row>14</xdr:row>
          <xdr:rowOff>69011</xdr:rowOff>
        </xdr:to>
        <xdr:sp macro="" textlink="">
          <xdr:nvSpPr>
            <xdr:cNvPr id="31757" name="Object 13" hidden="1">
              <a:extLst>
                <a:ext uri="{63B3BB69-23CF-44E3-9099-C40C66FF867C}">
                  <a14:compatExt spid="_x0000_s317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284672</xdr:colOff>
          <xdr:row>19</xdr:row>
          <xdr:rowOff>8626</xdr:rowOff>
        </xdr:from>
        <xdr:to>
          <xdr:col>6</xdr:col>
          <xdr:colOff>543464</xdr:colOff>
          <xdr:row>23</xdr:row>
          <xdr:rowOff>0</xdr:rowOff>
        </xdr:to>
        <xdr:sp macro="" textlink="">
          <xdr:nvSpPr>
            <xdr:cNvPr id="31760" name="Object 16" hidden="1">
              <a:extLst>
                <a:ext uri="{63B3BB69-23CF-44E3-9099-C40C66FF867C}">
                  <a14:compatExt spid="_x0000_s317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301925</xdr:colOff>
          <xdr:row>8</xdr:row>
          <xdr:rowOff>0</xdr:rowOff>
        </xdr:from>
        <xdr:to>
          <xdr:col>7</xdr:col>
          <xdr:colOff>172528</xdr:colOff>
          <xdr:row>9</xdr:row>
          <xdr:rowOff>86264</xdr:rowOff>
        </xdr:to>
        <xdr:sp macro="" textlink="">
          <xdr:nvSpPr>
            <xdr:cNvPr id="31761" name="Object 17" hidden="1">
              <a:extLst>
                <a:ext uri="{63B3BB69-23CF-44E3-9099-C40C66FF867C}">
                  <a14:compatExt spid="_x0000_s31761"/>
                </a:ext>
              </a:extLst>
            </xdr:cNvPr>
            <xdr:cNvSpPr/>
          </xdr:nvSpPr>
          <xdr:spPr>
            <a:xfrm>
              <a:off x="0" y="0"/>
              <a:ext cx="0" cy="0"/>
            </a:xfrm>
            <a:prstGeom prst="rect">
              <a:avLst/>
            </a:prstGeom>
          </xdr:spPr>
        </xdr:sp>
        <xdr:clientData/>
      </xdr:twoCellAnchor>
    </mc:Choice>
    <mc:Fallback/>
  </mc:AlternateContent>
</xdr:wsDr>
</file>

<file path=xl/drawings/drawing38.xml><?xml version="1.0" encoding="utf-8"?>
<xdr:wsDr xmlns:xdr="http://schemas.openxmlformats.org/drawingml/2006/spreadsheetDrawing" xmlns:a="http://schemas.openxmlformats.org/drawingml/2006/main">
  <xdr:twoCellAnchor>
    <xdr:from>
      <xdr:col>3</xdr:col>
      <xdr:colOff>94891</xdr:colOff>
      <xdr:row>5</xdr:row>
      <xdr:rowOff>0</xdr:rowOff>
    </xdr:from>
    <xdr:to>
      <xdr:col>4</xdr:col>
      <xdr:colOff>414068</xdr:colOff>
      <xdr:row>10</xdr:row>
      <xdr:rowOff>94891</xdr:rowOff>
    </xdr:to>
    <xdr:sp macro="" textlink="">
      <xdr:nvSpPr>
        <xdr:cNvPr id="32769" name="Line 1"/>
        <xdr:cNvSpPr>
          <a:spLocks noChangeShapeType="1"/>
        </xdr:cNvSpPr>
      </xdr:nvSpPr>
      <xdr:spPr bwMode="auto">
        <a:xfrm>
          <a:off x="2838091" y="1095555"/>
          <a:ext cx="1078301" cy="10869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345057</xdr:colOff>
      <xdr:row>12</xdr:row>
      <xdr:rowOff>8626</xdr:rowOff>
    </xdr:from>
    <xdr:to>
      <xdr:col>4</xdr:col>
      <xdr:colOff>293298</xdr:colOff>
      <xdr:row>12</xdr:row>
      <xdr:rowOff>8626</xdr:rowOff>
    </xdr:to>
    <xdr:sp macro="" textlink="">
      <xdr:nvSpPr>
        <xdr:cNvPr id="32770" name="Line 2"/>
        <xdr:cNvSpPr>
          <a:spLocks noChangeShapeType="1"/>
        </xdr:cNvSpPr>
      </xdr:nvSpPr>
      <xdr:spPr bwMode="auto">
        <a:xfrm flipV="1">
          <a:off x="3088257" y="2605177"/>
          <a:ext cx="70736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172528</xdr:colOff>
      <xdr:row>11</xdr:row>
      <xdr:rowOff>25879</xdr:rowOff>
    </xdr:from>
    <xdr:to>
      <xdr:col>3</xdr:col>
      <xdr:colOff>250166</xdr:colOff>
      <xdr:row>13</xdr:row>
      <xdr:rowOff>0</xdr:rowOff>
    </xdr:to>
    <xdr:sp macro="" textlink="">
      <xdr:nvSpPr>
        <xdr:cNvPr id="32771" name="AutoShape 3"/>
        <xdr:cNvSpPr>
          <a:spLocks/>
        </xdr:cNvSpPr>
      </xdr:nvSpPr>
      <xdr:spPr bwMode="auto">
        <a:xfrm>
          <a:off x="2915728" y="2355011"/>
          <a:ext cx="77638" cy="448574"/>
        </a:xfrm>
        <a:prstGeom prst="rightBrace">
          <a:avLst>
            <a:gd name="adj1" fmla="val 481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500332</xdr:colOff>
      <xdr:row>1</xdr:row>
      <xdr:rowOff>8626</xdr:rowOff>
    </xdr:from>
    <xdr:to>
      <xdr:col>7</xdr:col>
      <xdr:colOff>336430</xdr:colOff>
      <xdr:row>3</xdr:row>
      <xdr:rowOff>8626</xdr:rowOff>
    </xdr:to>
    <xdr:sp macro="" textlink="">
      <xdr:nvSpPr>
        <xdr:cNvPr id="32772" name="WordArt 4"/>
        <xdr:cNvSpPr>
          <a:spLocks noChangeArrowheads="1" noChangeShapeType="1" noTextEdit="1"/>
        </xdr:cNvSpPr>
      </xdr:nvSpPr>
      <xdr:spPr bwMode="auto">
        <a:xfrm>
          <a:off x="5520906" y="276045"/>
          <a:ext cx="595222" cy="362310"/>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6</xdr:col>
      <xdr:colOff>595223</xdr:colOff>
      <xdr:row>17</xdr:row>
      <xdr:rowOff>69011</xdr:rowOff>
    </xdr:from>
    <xdr:to>
      <xdr:col>7</xdr:col>
      <xdr:colOff>431321</xdr:colOff>
      <xdr:row>19</xdr:row>
      <xdr:rowOff>129396</xdr:rowOff>
    </xdr:to>
    <xdr:sp macro="" textlink="">
      <xdr:nvSpPr>
        <xdr:cNvPr id="32773" name="WordArt 5"/>
        <xdr:cNvSpPr>
          <a:spLocks noChangeArrowheads="1" noChangeShapeType="1" noTextEdit="1"/>
        </xdr:cNvSpPr>
      </xdr:nvSpPr>
      <xdr:spPr bwMode="auto">
        <a:xfrm>
          <a:off x="5615796" y="3528204"/>
          <a:ext cx="595223" cy="388188"/>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10</xdr:col>
      <xdr:colOff>414068</xdr:colOff>
      <xdr:row>16</xdr:row>
      <xdr:rowOff>25879</xdr:rowOff>
    </xdr:from>
    <xdr:to>
      <xdr:col>11</xdr:col>
      <xdr:colOff>474453</xdr:colOff>
      <xdr:row>17</xdr:row>
      <xdr:rowOff>94891</xdr:rowOff>
    </xdr:to>
    <xdr:sp macro="" textlink="">
      <xdr:nvSpPr>
        <xdr:cNvPr id="32774" name="WordArt 6" descr="Papier Kraft"/>
        <xdr:cNvSpPr>
          <a:spLocks noChangeArrowheads="1" noChangeShapeType="1" noTextEdit="1"/>
        </xdr:cNvSpPr>
      </xdr:nvSpPr>
      <xdr:spPr bwMode="auto">
        <a:xfrm>
          <a:off x="8031192" y="3321170"/>
          <a:ext cx="819510" cy="232913"/>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1"/>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xdr:twoCellAnchor>
    <xdr:from>
      <xdr:col>8</xdr:col>
      <xdr:colOff>129396</xdr:colOff>
      <xdr:row>12</xdr:row>
      <xdr:rowOff>8626</xdr:rowOff>
    </xdr:from>
    <xdr:to>
      <xdr:col>8</xdr:col>
      <xdr:colOff>750498</xdr:colOff>
      <xdr:row>12</xdr:row>
      <xdr:rowOff>8626</xdr:rowOff>
    </xdr:to>
    <xdr:sp macro="" textlink="">
      <xdr:nvSpPr>
        <xdr:cNvPr id="32775" name="Line 7"/>
        <xdr:cNvSpPr>
          <a:spLocks noChangeShapeType="1"/>
        </xdr:cNvSpPr>
      </xdr:nvSpPr>
      <xdr:spPr bwMode="auto">
        <a:xfrm>
          <a:off x="6668219" y="2605177"/>
          <a:ext cx="621102"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483079</xdr:colOff>
          <xdr:row>3</xdr:row>
          <xdr:rowOff>60385</xdr:rowOff>
        </xdr:from>
        <xdr:to>
          <xdr:col>6</xdr:col>
          <xdr:colOff>672860</xdr:colOff>
          <xdr:row>7</xdr:row>
          <xdr:rowOff>0</xdr:rowOff>
        </xdr:to>
        <xdr:sp macro="" textlink="">
          <xdr:nvSpPr>
            <xdr:cNvPr id="32776" name="Object 8" hidden="1">
              <a:extLst>
                <a:ext uri="{63B3BB69-23CF-44E3-9099-C40C66FF867C}">
                  <a14:compatExt spid="_x0000_s327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526211</xdr:colOff>
          <xdr:row>10</xdr:row>
          <xdr:rowOff>155275</xdr:rowOff>
        </xdr:from>
        <xdr:to>
          <xdr:col>6</xdr:col>
          <xdr:colOff>552091</xdr:colOff>
          <xdr:row>14</xdr:row>
          <xdr:rowOff>69011</xdr:rowOff>
        </xdr:to>
        <xdr:sp macro="" textlink="">
          <xdr:nvSpPr>
            <xdr:cNvPr id="32777" name="Object 9" hidden="1">
              <a:extLst>
                <a:ext uri="{63B3BB69-23CF-44E3-9099-C40C66FF867C}">
                  <a14:compatExt spid="_x0000_s327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284672</xdr:colOff>
          <xdr:row>19</xdr:row>
          <xdr:rowOff>8626</xdr:rowOff>
        </xdr:from>
        <xdr:to>
          <xdr:col>6</xdr:col>
          <xdr:colOff>543464</xdr:colOff>
          <xdr:row>23</xdr:row>
          <xdr:rowOff>0</xdr:rowOff>
        </xdr:to>
        <xdr:sp macro="" textlink="">
          <xdr:nvSpPr>
            <xdr:cNvPr id="32778" name="Object 10" hidden="1">
              <a:extLst>
                <a:ext uri="{63B3BB69-23CF-44E3-9099-C40C66FF867C}">
                  <a14:compatExt spid="_x0000_s327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301925</xdr:colOff>
          <xdr:row>8</xdr:row>
          <xdr:rowOff>0</xdr:rowOff>
        </xdr:from>
        <xdr:to>
          <xdr:col>7</xdr:col>
          <xdr:colOff>172528</xdr:colOff>
          <xdr:row>9</xdr:row>
          <xdr:rowOff>86264</xdr:rowOff>
        </xdr:to>
        <xdr:sp macro="" textlink="">
          <xdr:nvSpPr>
            <xdr:cNvPr id="32779" name="Object 11" hidden="1">
              <a:extLst>
                <a:ext uri="{63B3BB69-23CF-44E3-9099-C40C66FF867C}">
                  <a14:compatExt spid="_x0000_s32779"/>
                </a:ext>
              </a:extLst>
            </xdr:cNvPr>
            <xdr:cNvSpPr/>
          </xdr:nvSpPr>
          <xdr:spPr>
            <a:xfrm>
              <a:off x="0" y="0"/>
              <a:ext cx="0" cy="0"/>
            </a:xfrm>
            <a:prstGeom prst="rect">
              <a:avLst/>
            </a:prstGeom>
          </xdr:spPr>
        </xdr:sp>
        <xdr:clientData/>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215660</xdr:colOff>
          <xdr:row>4</xdr:row>
          <xdr:rowOff>34506</xdr:rowOff>
        </xdr:from>
        <xdr:to>
          <xdr:col>5</xdr:col>
          <xdr:colOff>396815</xdr:colOff>
          <xdr:row>7</xdr:row>
          <xdr:rowOff>8626</xdr:rowOff>
        </xdr:to>
        <xdr:sp macro="" textlink="">
          <xdr:nvSpPr>
            <xdr:cNvPr id="34819" name="Object 3" hidden="1">
              <a:extLst>
                <a:ext uri="{63B3BB69-23CF-44E3-9099-C40C66FF867C}">
                  <a14:compatExt spid="_x0000_s34819"/>
                </a:ext>
              </a:extLst>
            </xdr:cNvPr>
            <xdr:cNvSpPr/>
          </xdr:nvSpPr>
          <xdr:spPr>
            <a:xfrm>
              <a:off x="0" y="0"/>
              <a:ext cx="0" cy="0"/>
            </a:xfrm>
            <a:prstGeom prst="rect">
              <a:avLst/>
            </a:prstGeom>
          </xdr:spPr>
        </xdr:sp>
        <xdr:clientData/>
      </xdr:twoCellAnchor>
    </mc:Choice>
    <mc:Fallback/>
  </mc:AlternateContent>
  <xdr:twoCellAnchor>
    <xdr:from>
      <xdr:col>3</xdr:col>
      <xdr:colOff>414068</xdr:colOff>
      <xdr:row>7</xdr:row>
      <xdr:rowOff>129396</xdr:rowOff>
    </xdr:from>
    <xdr:to>
      <xdr:col>4</xdr:col>
      <xdr:colOff>388189</xdr:colOff>
      <xdr:row>10</xdr:row>
      <xdr:rowOff>129396</xdr:rowOff>
    </xdr:to>
    <xdr:sp macro="" textlink="">
      <xdr:nvSpPr>
        <xdr:cNvPr id="34820" name="Line 4"/>
        <xdr:cNvSpPr>
          <a:spLocks noChangeShapeType="1"/>
        </xdr:cNvSpPr>
      </xdr:nvSpPr>
      <xdr:spPr bwMode="auto">
        <a:xfrm>
          <a:off x="3597215" y="1535502"/>
          <a:ext cx="1052423" cy="4917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319177</xdr:colOff>
      <xdr:row>13</xdr:row>
      <xdr:rowOff>25879</xdr:rowOff>
    </xdr:from>
    <xdr:to>
      <xdr:col>3</xdr:col>
      <xdr:colOff>664234</xdr:colOff>
      <xdr:row>13</xdr:row>
      <xdr:rowOff>129396</xdr:rowOff>
    </xdr:to>
    <xdr:sp macro="" textlink="">
      <xdr:nvSpPr>
        <xdr:cNvPr id="34821" name="Line 5"/>
        <xdr:cNvSpPr>
          <a:spLocks noChangeShapeType="1"/>
        </xdr:cNvSpPr>
      </xdr:nvSpPr>
      <xdr:spPr bwMode="auto">
        <a:xfrm flipV="1">
          <a:off x="3502325" y="2648309"/>
          <a:ext cx="345056" cy="1035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146649</xdr:colOff>
      <xdr:row>10</xdr:row>
      <xdr:rowOff>0</xdr:rowOff>
    </xdr:from>
    <xdr:to>
      <xdr:col>3</xdr:col>
      <xdr:colOff>258792</xdr:colOff>
      <xdr:row>18</xdr:row>
      <xdr:rowOff>0</xdr:rowOff>
    </xdr:to>
    <xdr:sp macro="" textlink="">
      <xdr:nvSpPr>
        <xdr:cNvPr id="34822" name="AutoShape 6"/>
        <xdr:cNvSpPr>
          <a:spLocks/>
        </xdr:cNvSpPr>
      </xdr:nvSpPr>
      <xdr:spPr bwMode="auto">
        <a:xfrm>
          <a:off x="3329796" y="1897811"/>
          <a:ext cx="112144" cy="1733910"/>
        </a:xfrm>
        <a:prstGeom prst="rightBrace">
          <a:avLst>
            <a:gd name="adj1" fmla="val 128846"/>
            <a:gd name="adj2" fmla="val 50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155275</xdr:colOff>
      <xdr:row>1</xdr:row>
      <xdr:rowOff>103517</xdr:rowOff>
    </xdr:from>
    <xdr:to>
      <xdr:col>4</xdr:col>
      <xdr:colOff>741872</xdr:colOff>
      <xdr:row>2</xdr:row>
      <xdr:rowOff>189781</xdr:rowOff>
    </xdr:to>
    <xdr:sp macro="" textlink="">
      <xdr:nvSpPr>
        <xdr:cNvPr id="34823" name="WordArt 7"/>
        <xdr:cNvSpPr>
          <a:spLocks noChangeArrowheads="1" noChangeShapeType="1" noTextEdit="1"/>
        </xdr:cNvSpPr>
      </xdr:nvSpPr>
      <xdr:spPr bwMode="auto">
        <a:xfrm>
          <a:off x="4416725" y="370936"/>
          <a:ext cx="586596" cy="284672"/>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8</xdr:col>
      <xdr:colOff>552091</xdr:colOff>
      <xdr:row>18</xdr:row>
      <xdr:rowOff>146649</xdr:rowOff>
    </xdr:from>
    <xdr:to>
      <xdr:col>10</xdr:col>
      <xdr:colOff>189781</xdr:colOff>
      <xdr:row>19</xdr:row>
      <xdr:rowOff>258792</xdr:rowOff>
    </xdr:to>
    <xdr:sp macro="" textlink="">
      <xdr:nvSpPr>
        <xdr:cNvPr id="34824" name="WordArt 8"/>
        <xdr:cNvSpPr>
          <a:spLocks noChangeArrowheads="1" noChangeShapeType="1" noTextEdit="1"/>
        </xdr:cNvSpPr>
      </xdr:nvSpPr>
      <xdr:spPr bwMode="auto">
        <a:xfrm>
          <a:off x="7996687" y="3778370"/>
          <a:ext cx="646981" cy="414068"/>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9</xdr:col>
      <xdr:colOff>0</xdr:colOff>
      <xdr:row>14</xdr:row>
      <xdr:rowOff>181155</xdr:rowOff>
    </xdr:from>
    <xdr:to>
      <xdr:col>10</xdr:col>
      <xdr:colOff>310551</xdr:colOff>
      <xdr:row>16</xdr:row>
      <xdr:rowOff>77638</xdr:rowOff>
    </xdr:to>
    <xdr:sp macro="" textlink="">
      <xdr:nvSpPr>
        <xdr:cNvPr id="34825" name="WordArt 9" descr="Papier Kraft"/>
        <xdr:cNvSpPr>
          <a:spLocks noChangeArrowheads="1" noChangeShapeType="1" noTextEdit="1"/>
        </xdr:cNvSpPr>
      </xdr:nvSpPr>
      <xdr:spPr bwMode="auto">
        <a:xfrm>
          <a:off x="8091577" y="3019245"/>
          <a:ext cx="672861" cy="293298"/>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1"/>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mc:AlternateContent xmlns:mc="http://schemas.openxmlformats.org/markup-compatibility/2006">
    <mc:Choice xmlns:a14="http://schemas.microsoft.com/office/drawing/2010/main" Requires="a14">
      <xdr:twoCellAnchor>
        <xdr:from>
          <xdr:col>6</xdr:col>
          <xdr:colOff>293298</xdr:colOff>
          <xdr:row>11</xdr:row>
          <xdr:rowOff>0</xdr:rowOff>
        </xdr:from>
        <xdr:to>
          <xdr:col>9</xdr:col>
          <xdr:colOff>241540</xdr:colOff>
          <xdr:row>13</xdr:row>
          <xdr:rowOff>207034</xdr:rowOff>
        </xdr:to>
        <xdr:sp macro="" textlink="">
          <xdr:nvSpPr>
            <xdr:cNvPr id="34831" name="Object 15" hidden="1">
              <a:extLst>
                <a:ext uri="{63B3BB69-23CF-44E3-9099-C40C66FF867C}">
                  <a14:compatExt spid="_x0000_s348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698740</xdr:colOff>
          <xdr:row>11</xdr:row>
          <xdr:rowOff>8626</xdr:rowOff>
        </xdr:from>
        <xdr:to>
          <xdr:col>6</xdr:col>
          <xdr:colOff>215660</xdr:colOff>
          <xdr:row>14</xdr:row>
          <xdr:rowOff>0</xdr:rowOff>
        </xdr:to>
        <xdr:sp macro="" textlink="">
          <xdr:nvSpPr>
            <xdr:cNvPr id="34832" name="Object 16" hidden="1">
              <a:extLst>
                <a:ext uri="{63B3BB69-23CF-44E3-9099-C40C66FF867C}">
                  <a14:compatExt spid="_x0000_s34832"/>
                </a:ext>
              </a:extLst>
            </xdr:cNvPr>
            <xdr:cNvSpPr/>
          </xdr:nvSpPr>
          <xdr:spPr>
            <a:xfrm>
              <a:off x="0" y="0"/>
              <a:ext cx="0" cy="0"/>
            </a:xfrm>
            <a:prstGeom prst="rect">
              <a:avLst/>
            </a:prstGeom>
          </xdr:spPr>
        </xdr:sp>
        <xdr:clientData/>
      </xdr:twoCellAnchor>
    </mc:Choice>
    <mc:Fallback/>
  </mc:AlternateContent>
  <xdr:twoCellAnchor>
    <xdr:from>
      <xdr:col>5</xdr:col>
      <xdr:colOff>534838</xdr:colOff>
      <xdr:row>0</xdr:row>
      <xdr:rowOff>0</xdr:rowOff>
    </xdr:from>
    <xdr:to>
      <xdr:col>7</xdr:col>
      <xdr:colOff>465826</xdr:colOff>
      <xdr:row>9</xdr:row>
      <xdr:rowOff>103517</xdr:rowOff>
    </xdr:to>
    <xdr:pic>
      <xdr:nvPicPr>
        <xdr:cNvPr id="34833" name="Picture 17" descr="aza"/>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55411" y="0"/>
          <a:ext cx="1725283" cy="183742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207034</xdr:colOff>
      <xdr:row>14</xdr:row>
      <xdr:rowOff>77638</xdr:rowOff>
    </xdr:from>
    <xdr:to>
      <xdr:col>5</xdr:col>
      <xdr:colOff>319177</xdr:colOff>
      <xdr:row>15</xdr:row>
      <xdr:rowOff>60385</xdr:rowOff>
    </xdr:to>
    <xdr:sp macro="" textlink="">
      <xdr:nvSpPr>
        <xdr:cNvPr id="34841" name="Line 25"/>
        <xdr:cNvSpPr>
          <a:spLocks noChangeShapeType="1"/>
        </xdr:cNvSpPr>
      </xdr:nvSpPr>
      <xdr:spPr bwMode="auto">
        <a:xfrm>
          <a:off x="5227608" y="2915728"/>
          <a:ext cx="112143" cy="1811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353683</xdr:colOff>
      <xdr:row>14</xdr:row>
      <xdr:rowOff>69011</xdr:rowOff>
    </xdr:from>
    <xdr:to>
      <xdr:col>7</xdr:col>
      <xdr:colOff>396815</xdr:colOff>
      <xdr:row>15</xdr:row>
      <xdr:rowOff>60385</xdr:rowOff>
    </xdr:to>
    <xdr:sp macro="" textlink="">
      <xdr:nvSpPr>
        <xdr:cNvPr id="34842" name="Line 26"/>
        <xdr:cNvSpPr>
          <a:spLocks noChangeShapeType="1"/>
        </xdr:cNvSpPr>
      </xdr:nvSpPr>
      <xdr:spPr bwMode="auto">
        <a:xfrm flipH="1">
          <a:off x="7168551" y="2907102"/>
          <a:ext cx="43132" cy="18978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5</xdr:col>
          <xdr:colOff>638355</xdr:colOff>
          <xdr:row>19</xdr:row>
          <xdr:rowOff>215660</xdr:rowOff>
        </xdr:from>
        <xdr:to>
          <xdr:col>8</xdr:col>
          <xdr:colOff>526211</xdr:colOff>
          <xdr:row>23</xdr:row>
          <xdr:rowOff>0</xdr:rowOff>
        </xdr:to>
        <xdr:sp macro="" textlink="">
          <xdr:nvSpPr>
            <xdr:cNvPr id="34847" name="Object 31" hidden="1">
              <a:extLst>
                <a:ext uri="{63B3BB69-23CF-44E3-9099-C40C66FF867C}">
                  <a14:compatExt spid="_x0000_s34847"/>
                </a:ext>
              </a:extLst>
            </xdr:cNvPr>
            <xdr:cNvSpPr/>
          </xdr:nvSpPr>
          <xdr:spPr>
            <a:xfrm>
              <a:off x="0" y="0"/>
              <a:ext cx="0" cy="0"/>
            </a:xfrm>
            <a:prstGeom prst="rect">
              <a:avLst/>
            </a:prstGeom>
          </xdr:spPr>
        </xdr:sp>
        <xdr:clientData/>
      </xdr:twoCellAnchor>
    </mc:Choice>
    <mc:Fallback/>
  </mc:AlternateContent>
  <xdr:twoCellAnchor>
    <xdr:from>
      <xdr:col>8</xdr:col>
      <xdr:colOff>8626</xdr:colOff>
      <xdr:row>0</xdr:row>
      <xdr:rowOff>112143</xdr:rowOff>
    </xdr:from>
    <xdr:to>
      <xdr:col>11</xdr:col>
      <xdr:colOff>439947</xdr:colOff>
      <xdr:row>1</xdr:row>
      <xdr:rowOff>94891</xdr:rowOff>
    </xdr:to>
    <xdr:sp macro="" textlink="">
      <xdr:nvSpPr>
        <xdr:cNvPr id="34853" name="Text Box 37"/>
        <xdr:cNvSpPr txBox="1">
          <a:spLocks noChangeArrowheads="1"/>
        </xdr:cNvSpPr>
      </xdr:nvSpPr>
      <xdr:spPr bwMode="auto">
        <a:xfrm>
          <a:off x="7453223" y="112143"/>
          <a:ext cx="2001328" cy="250166"/>
        </a:xfrm>
        <a:prstGeom prst="rect">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32004" rIns="36576" bIns="0" anchor="t" upright="1"/>
        <a:lstStyle/>
        <a:p>
          <a:pPr algn="ctr" rtl="0">
            <a:defRPr sz="1000"/>
          </a:pPr>
          <a:r>
            <a:rPr lang="fr-FR" sz="1400" b="1" i="0" u="none" strike="noStrike" baseline="0">
              <a:solidFill>
                <a:srgbClr val="000000"/>
              </a:solidFill>
              <a:latin typeface="Arial"/>
              <a:cs typeface="Arial"/>
            </a:rPr>
            <a:t>PANNE DEVERSEE</a:t>
          </a:r>
          <a:endParaRPr lang="fr-F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0</xdr:colOff>
          <xdr:row>2</xdr:row>
          <xdr:rowOff>77638</xdr:rowOff>
        </xdr:from>
        <xdr:to>
          <xdr:col>15</xdr:col>
          <xdr:colOff>733245</xdr:colOff>
          <xdr:row>4</xdr:row>
          <xdr:rowOff>17253</xdr:rowOff>
        </xdr:to>
        <xdr:sp macro="" textlink="">
          <xdr:nvSpPr>
            <xdr:cNvPr id="47105" name="Object 1" hidden="1">
              <a:extLst>
                <a:ext uri="{63B3BB69-23CF-44E3-9099-C40C66FF867C}">
                  <a14:compatExt spid="_x0000_s47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198408</xdr:colOff>
          <xdr:row>6</xdr:row>
          <xdr:rowOff>17253</xdr:rowOff>
        </xdr:from>
        <xdr:to>
          <xdr:col>15</xdr:col>
          <xdr:colOff>405442</xdr:colOff>
          <xdr:row>8</xdr:row>
          <xdr:rowOff>8626</xdr:rowOff>
        </xdr:to>
        <xdr:sp macro="" textlink="">
          <xdr:nvSpPr>
            <xdr:cNvPr id="47106" name="Object 2" hidden="1">
              <a:extLst>
                <a:ext uri="{63B3BB69-23CF-44E3-9099-C40C66FF867C}">
                  <a14:compatExt spid="_x0000_s47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17253</xdr:colOff>
          <xdr:row>9</xdr:row>
          <xdr:rowOff>0</xdr:rowOff>
        </xdr:from>
        <xdr:to>
          <xdr:col>15</xdr:col>
          <xdr:colOff>543464</xdr:colOff>
          <xdr:row>11</xdr:row>
          <xdr:rowOff>8626</xdr:rowOff>
        </xdr:to>
        <xdr:sp macro="" textlink="">
          <xdr:nvSpPr>
            <xdr:cNvPr id="47107" name="Object 3" hidden="1">
              <a:extLst>
                <a:ext uri="{63B3BB69-23CF-44E3-9099-C40C66FF867C}">
                  <a14:compatExt spid="_x0000_s47107"/>
                </a:ext>
              </a:extLst>
            </xdr:cNvPr>
            <xdr:cNvSpPr/>
          </xdr:nvSpPr>
          <xdr:spPr>
            <a:xfrm>
              <a:off x="0" y="0"/>
              <a:ext cx="0" cy="0"/>
            </a:xfrm>
            <a:prstGeom prst="rect">
              <a:avLst/>
            </a:prstGeom>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198408</xdr:colOff>
          <xdr:row>3</xdr:row>
          <xdr:rowOff>189781</xdr:rowOff>
        </xdr:from>
        <xdr:to>
          <xdr:col>5</xdr:col>
          <xdr:colOff>370936</xdr:colOff>
          <xdr:row>6</xdr:row>
          <xdr:rowOff>129396</xdr:rowOff>
        </xdr:to>
        <xdr:sp macro="" textlink="">
          <xdr:nvSpPr>
            <xdr:cNvPr id="35841" name="Object 1" hidden="1">
              <a:extLst>
                <a:ext uri="{63B3BB69-23CF-44E3-9099-C40C66FF867C}">
                  <a14:compatExt spid="_x0000_s35841"/>
                </a:ext>
              </a:extLst>
            </xdr:cNvPr>
            <xdr:cNvSpPr/>
          </xdr:nvSpPr>
          <xdr:spPr>
            <a:xfrm>
              <a:off x="0" y="0"/>
              <a:ext cx="0" cy="0"/>
            </a:xfrm>
            <a:prstGeom prst="rect">
              <a:avLst/>
            </a:prstGeom>
          </xdr:spPr>
        </xdr:sp>
        <xdr:clientData/>
      </xdr:twoCellAnchor>
    </mc:Choice>
    <mc:Fallback/>
  </mc:AlternateContent>
  <xdr:twoCellAnchor>
    <xdr:from>
      <xdr:col>3</xdr:col>
      <xdr:colOff>319177</xdr:colOff>
      <xdr:row>14</xdr:row>
      <xdr:rowOff>120770</xdr:rowOff>
    </xdr:from>
    <xdr:to>
      <xdr:col>3</xdr:col>
      <xdr:colOff>474453</xdr:colOff>
      <xdr:row>14</xdr:row>
      <xdr:rowOff>129396</xdr:rowOff>
    </xdr:to>
    <xdr:sp macro="" textlink="">
      <xdr:nvSpPr>
        <xdr:cNvPr id="35843" name="Line 3"/>
        <xdr:cNvSpPr>
          <a:spLocks noChangeShapeType="1"/>
        </xdr:cNvSpPr>
      </xdr:nvSpPr>
      <xdr:spPr bwMode="auto">
        <a:xfrm flipV="1">
          <a:off x="3786996" y="2907102"/>
          <a:ext cx="155276" cy="86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146649</xdr:colOff>
      <xdr:row>10</xdr:row>
      <xdr:rowOff>17253</xdr:rowOff>
    </xdr:from>
    <xdr:to>
      <xdr:col>3</xdr:col>
      <xdr:colOff>258792</xdr:colOff>
      <xdr:row>19</xdr:row>
      <xdr:rowOff>0</xdr:rowOff>
    </xdr:to>
    <xdr:sp macro="" textlink="">
      <xdr:nvSpPr>
        <xdr:cNvPr id="35844" name="AutoShape 4"/>
        <xdr:cNvSpPr>
          <a:spLocks/>
        </xdr:cNvSpPr>
      </xdr:nvSpPr>
      <xdr:spPr bwMode="auto">
        <a:xfrm>
          <a:off x="3614468" y="1940943"/>
          <a:ext cx="112143" cy="1854680"/>
        </a:xfrm>
        <a:prstGeom prst="rightBrace">
          <a:avLst>
            <a:gd name="adj1" fmla="val 137821"/>
            <a:gd name="adj2" fmla="val 50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146649</xdr:colOff>
      <xdr:row>1</xdr:row>
      <xdr:rowOff>34506</xdr:rowOff>
    </xdr:from>
    <xdr:to>
      <xdr:col>4</xdr:col>
      <xdr:colOff>733245</xdr:colOff>
      <xdr:row>2</xdr:row>
      <xdr:rowOff>120770</xdr:rowOff>
    </xdr:to>
    <xdr:sp macro="" textlink="">
      <xdr:nvSpPr>
        <xdr:cNvPr id="35845" name="WordArt 5"/>
        <xdr:cNvSpPr>
          <a:spLocks noChangeArrowheads="1" noChangeShapeType="1" noTextEdit="1"/>
        </xdr:cNvSpPr>
      </xdr:nvSpPr>
      <xdr:spPr bwMode="auto">
        <a:xfrm>
          <a:off x="4692770" y="276045"/>
          <a:ext cx="586596" cy="284672"/>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8</xdr:col>
      <xdr:colOff>267419</xdr:colOff>
      <xdr:row>16</xdr:row>
      <xdr:rowOff>17253</xdr:rowOff>
    </xdr:from>
    <xdr:to>
      <xdr:col>9</xdr:col>
      <xdr:colOff>293298</xdr:colOff>
      <xdr:row>17</xdr:row>
      <xdr:rowOff>112143</xdr:rowOff>
    </xdr:to>
    <xdr:sp macro="" textlink="">
      <xdr:nvSpPr>
        <xdr:cNvPr id="35847" name="WordArt 7" descr="Papier Kraft"/>
        <xdr:cNvSpPr>
          <a:spLocks noChangeArrowheads="1" noChangeShapeType="1" noTextEdit="1"/>
        </xdr:cNvSpPr>
      </xdr:nvSpPr>
      <xdr:spPr bwMode="auto">
        <a:xfrm>
          <a:off x="7919049" y="3217653"/>
          <a:ext cx="672860" cy="293298"/>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1"/>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xdr:twoCellAnchor>
    <xdr:from>
      <xdr:col>5</xdr:col>
      <xdr:colOff>224287</xdr:colOff>
      <xdr:row>15</xdr:row>
      <xdr:rowOff>8626</xdr:rowOff>
    </xdr:from>
    <xdr:to>
      <xdr:col>5</xdr:col>
      <xdr:colOff>319177</xdr:colOff>
      <xdr:row>16</xdr:row>
      <xdr:rowOff>60385</xdr:rowOff>
    </xdr:to>
    <xdr:sp macro="" textlink="">
      <xdr:nvSpPr>
        <xdr:cNvPr id="35852" name="Line 12"/>
        <xdr:cNvSpPr>
          <a:spLocks noChangeShapeType="1"/>
        </xdr:cNvSpPr>
      </xdr:nvSpPr>
      <xdr:spPr bwMode="auto">
        <a:xfrm>
          <a:off x="5529532" y="3010619"/>
          <a:ext cx="94891" cy="2501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353683</xdr:colOff>
      <xdr:row>14</xdr:row>
      <xdr:rowOff>146649</xdr:rowOff>
    </xdr:from>
    <xdr:to>
      <xdr:col>7</xdr:col>
      <xdr:colOff>414068</xdr:colOff>
      <xdr:row>16</xdr:row>
      <xdr:rowOff>60385</xdr:rowOff>
    </xdr:to>
    <xdr:sp macro="" textlink="">
      <xdr:nvSpPr>
        <xdr:cNvPr id="35853" name="Line 13"/>
        <xdr:cNvSpPr>
          <a:spLocks noChangeShapeType="1"/>
        </xdr:cNvSpPr>
      </xdr:nvSpPr>
      <xdr:spPr bwMode="auto">
        <a:xfrm flipH="1">
          <a:off x="7272068" y="2932981"/>
          <a:ext cx="60385" cy="3278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155275</xdr:colOff>
          <xdr:row>7</xdr:row>
          <xdr:rowOff>60385</xdr:rowOff>
        </xdr:from>
        <xdr:to>
          <xdr:col>5</xdr:col>
          <xdr:colOff>431321</xdr:colOff>
          <xdr:row>9</xdr:row>
          <xdr:rowOff>103517</xdr:rowOff>
        </xdr:to>
        <xdr:sp macro="" textlink="">
          <xdr:nvSpPr>
            <xdr:cNvPr id="35862" name="Object 22" hidden="1">
              <a:extLst>
                <a:ext uri="{63B3BB69-23CF-44E3-9099-C40C66FF867C}">
                  <a14:compatExt spid="_x0000_s358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293298</xdr:colOff>
          <xdr:row>11</xdr:row>
          <xdr:rowOff>60385</xdr:rowOff>
        </xdr:from>
        <xdr:to>
          <xdr:col>6</xdr:col>
          <xdr:colOff>759125</xdr:colOff>
          <xdr:row>14</xdr:row>
          <xdr:rowOff>60385</xdr:rowOff>
        </xdr:to>
        <xdr:sp macro="" textlink="">
          <xdr:nvSpPr>
            <xdr:cNvPr id="35866" name="Object 26" hidden="1">
              <a:extLst>
                <a:ext uri="{63B3BB69-23CF-44E3-9099-C40C66FF867C}">
                  <a14:compatExt spid="_x0000_s358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51758</xdr:colOff>
          <xdr:row>11</xdr:row>
          <xdr:rowOff>51758</xdr:rowOff>
        </xdr:from>
        <xdr:to>
          <xdr:col>12</xdr:col>
          <xdr:colOff>8626</xdr:colOff>
          <xdr:row>14</xdr:row>
          <xdr:rowOff>60385</xdr:rowOff>
        </xdr:to>
        <xdr:sp macro="" textlink="">
          <xdr:nvSpPr>
            <xdr:cNvPr id="35867" name="Object 27" hidden="1">
              <a:extLst>
                <a:ext uri="{63B3BB69-23CF-44E3-9099-C40C66FF867C}">
                  <a14:compatExt spid="_x0000_s358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215660</xdr:colOff>
          <xdr:row>20</xdr:row>
          <xdr:rowOff>17253</xdr:rowOff>
        </xdr:from>
        <xdr:to>
          <xdr:col>5</xdr:col>
          <xdr:colOff>508958</xdr:colOff>
          <xdr:row>22</xdr:row>
          <xdr:rowOff>77638</xdr:rowOff>
        </xdr:to>
        <xdr:sp macro="" textlink="">
          <xdr:nvSpPr>
            <xdr:cNvPr id="35870" name="Object 30" hidden="1">
              <a:extLst>
                <a:ext uri="{63B3BB69-23CF-44E3-9099-C40C66FF867C}">
                  <a14:compatExt spid="_x0000_s35870"/>
                </a:ext>
              </a:extLst>
            </xdr:cNvPr>
            <xdr:cNvSpPr/>
          </xdr:nvSpPr>
          <xdr:spPr>
            <a:xfrm>
              <a:off x="0" y="0"/>
              <a:ext cx="0" cy="0"/>
            </a:xfrm>
            <a:prstGeom prst="rect">
              <a:avLst/>
            </a:prstGeom>
          </xdr:spPr>
        </xdr:sp>
        <xdr:clientData/>
      </xdr:twoCellAnchor>
    </mc:Choice>
    <mc:Fallback/>
  </mc:AlternateContent>
  <xdr:twoCellAnchor>
    <xdr:from>
      <xdr:col>3</xdr:col>
      <xdr:colOff>388189</xdr:colOff>
      <xdr:row>18</xdr:row>
      <xdr:rowOff>103517</xdr:rowOff>
    </xdr:from>
    <xdr:to>
      <xdr:col>3</xdr:col>
      <xdr:colOff>1000664</xdr:colOff>
      <xdr:row>19</xdr:row>
      <xdr:rowOff>189781</xdr:rowOff>
    </xdr:to>
    <xdr:sp macro="" textlink="">
      <xdr:nvSpPr>
        <xdr:cNvPr id="35871" name="WordArt 31"/>
        <xdr:cNvSpPr>
          <a:spLocks noChangeArrowheads="1" noChangeShapeType="1" noTextEdit="1"/>
        </xdr:cNvSpPr>
      </xdr:nvSpPr>
      <xdr:spPr bwMode="auto">
        <a:xfrm>
          <a:off x="3856008" y="3700732"/>
          <a:ext cx="612475" cy="284672"/>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5</xdr:col>
      <xdr:colOff>319177</xdr:colOff>
      <xdr:row>0</xdr:row>
      <xdr:rowOff>0</xdr:rowOff>
    </xdr:from>
    <xdr:to>
      <xdr:col>11</xdr:col>
      <xdr:colOff>345057</xdr:colOff>
      <xdr:row>1</xdr:row>
      <xdr:rowOff>0</xdr:rowOff>
    </xdr:to>
    <xdr:sp macro="" textlink="">
      <xdr:nvSpPr>
        <xdr:cNvPr id="35875" name="Text Box 35"/>
        <xdr:cNvSpPr txBox="1">
          <a:spLocks noChangeArrowheads="1"/>
        </xdr:cNvSpPr>
      </xdr:nvSpPr>
      <xdr:spPr bwMode="auto">
        <a:xfrm>
          <a:off x="5624423" y="0"/>
          <a:ext cx="3942271" cy="241540"/>
        </a:xfrm>
        <a:prstGeom prst="rect">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0" bIns="0" anchor="t" upright="1"/>
        <a:lstStyle/>
        <a:p>
          <a:pPr algn="l" rtl="0">
            <a:defRPr sz="1000"/>
          </a:pPr>
          <a:r>
            <a:rPr lang="fr-FR" sz="1100" b="1" i="0" u="none" strike="noStrike" baseline="0">
              <a:solidFill>
                <a:srgbClr val="000000"/>
              </a:solidFill>
              <a:latin typeface="Arial"/>
              <a:cs typeface="Arial"/>
            </a:rPr>
            <a:t>- PANNE DEVERSEE FLECHIE ET COMPRIMEE</a:t>
          </a:r>
          <a:endParaRPr lang="fr-FR"/>
        </a:p>
      </xdr:txBody>
    </xdr:sp>
    <xdr:clientData/>
  </xdr:twoCellAnchor>
  <xdr:twoCellAnchor>
    <xdr:from>
      <xdr:col>4</xdr:col>
      <xdr:colOff>362309</xdr:colOff>
      <xdr:row>10</xdr:row>
      <xdr:rowOff>0</xdr:rowOff>
    </xdr:from>
    <xdr:to>
      <xdr:col>6</xdr:col>
      <xdr:colOff>405442</xdr:colOff>
      <xdr:row>11</xdr:row>
      <xdr:rowOff>94891</xdr:rowOff>
    </xdr:to>
    <xdr:sp macro="" textlink="">
      <xdr:nvSpPr>
        <xdr:cNvPr id="35883" name="Line 43"/>
        <xdr:cNvSpPr>
          <a:spLocks noChangeShapeType="1"/>
        </xdr:cNvSpPr>
      </xdr:nvSpPr>
      <xdr:spPr bwMode="auto">
        <a:xfrm flipV="1">
          <a:off x="4908430" y="1923691"/>
          <a:ext cx="1570008" cy="310551"/>
        </a:xfrm>
        <a:prstGeom prst="line">
          <a:avLst/>
        </a:prstGeom>
        <a:noFill/>
        <a:ln w="28575">
          <a:solidFill>
            <a:srgbClr xmlns:mc="http://schemas.openxmlformats.org/markup-compatibility/2006" xmlns:a14="http://schemas.microsoft.com/office/drawing/2010/main" val="3366FF" mc:Ignorable="a14" a14:legacySpreadsheetColorIndex="48"/>
          </a:solidFill>
          <a:round/>
          <a:headEnd/>
          <a:tailEnd type="triangle" w="med" len="me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twoCellAnchor>
    <xdr:from>
      <xdr:col>7</xdr:col>
      <xdr:colOff>603849</xdr:colOff>
      <xdr:row>9</xdr:row>
      <xdr:rowOff>17253</xdr:rowOff>
    </xdr:from>
    <xdr:to>
      <xdr:col>8</xdr:col>
      <xdr:colOff>138023</xdr:colOff>
      <xdr:row>11</xdr:row>
      <xdr:rowOff>69011</xdr:rowOff>
    </xdr:to>
    <xdr:sp macro="" textlink="">
      <xdr:nvSpPr>
        <xdr:cNvPr id="35884" name="Line 44"/>
        <xdr:cNvSpPr>
          <a:spLocks noChangeShapeType="1"/>
        </xdr:cNvSpPr>
      </xdr:nvSpPr>
      <xdr:spPr bwMode="auto">
        <a:xfrm flipH="1" flipV="1">
          <a:off x="7522234" y="1837426"/>
          <a:ext cx="267419" cy="370936"/>
        </a:xfrm>
        <a:prstGeom prst="line">
          <a:avLst/>
        </a:prstGeom>
        <a:noFill/>
        <a:ln w="28575">
          <a:solidFill>
            <a:srgbClr xmlns:mc="http://schemas.openxmlformats.org/markup-compatibility/2006" xmlns:a14="http://schemas.microsoft.com/office/drawing/2010/main" val="3366FF" mc:Ignorable="a14" a14:legacySpreadsheetColorIndex="48"/>
          </a:solidFill>
          <a:round/>
          <a:headEnd/>
          <a:tailEnd type="triangle" w="med" len="me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198408</xdr:colOff>
          <xdr:row>3</xdr:row>
          <xdr:rowOff>189781</xdr:rowOff>
        </xdr:from>
        <xdr:to>
          <xdr:col>5</xdr:col>
          <xdr:colOff>370936</xdr:colOff>
          <xdr:row>6</xdr:row>
          <xdr:rowOff>129396</xdr:rowOff>
        </xdr:to>
        <xdr:sp macro="" textlink="">
          <xdr:nvSpPr>
            <xdr:cNvPr id="75777" name="Object 1" hidden="1">
              <a:extLst>
                <a:ext uri="{63B3BB69-23CF-44E3-9099-C40C66FF867C}">
                  <a14:compatExt spid="_x0000_s75777"/>
                </a:ext>
              </a:extLst>
            </xdr:cNvPr>
            <xdr:cNvSpPr/>
          </xdr:nvSpPr>
          <xdr:spPr>
            <a:xfrm>
              <a:off x="0" y="0"/>
              <a:ext cx="0" cy="0"/>
            </a:xfrm>
            <a:prstGeom prst="rect">
              <a:avLst/>
            </a:prstGeom>
          </xdr:spPr>
        </xdr:sp>
        <xdr:clientData/>
      </xdr:twoCellAnchor>
    </mc:Choice>
    <mc:Fallback/>
  </mc:AlternateContent>
  <xdr:twoCellAnchor>
    <xdr:from>
      <xdr:col>3</xdr:col>
      <xdr:colOff>319177</xdr:colOff>
      <xdr:row>14</xdr:row>
      <xdr:rowOff>120770</xdr:rowOff>
    </xdr:from>
    <xdr:to>
      <xdr:col>3</xdr:col>
      <xdr:colOff>474453</xdr:colOff>
      <xdr:row>14</xdr:row>
      <xdr:rowOff>129396</xdr:rowOff>
    </xdr:to>
    <xdr:sp macro="" textlink="">
      <xdr:nvSpPr>
        <xdr:cNvPr id="75778" name="Line 2"/>
        <xdr:cNvSpPr>
          <a:spLocks noChangeShapeType="1"/>
        </xdr:cNvSpPr>
      </xdr:nvSpPr>
      <xdr:spPr bwMode="auto">
        <a:xfrm flipV="1">
          <a:off x="3786996" y="2907102"/>
          <a:ext cx="155276" cy="86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146649</xdr:colOff>
      <xdr:row>10</xdr:row>
      <xdr:rowOff>17253</xdr:rowOff>
    </xdr:from>
    <xdr:to>
      <xdr:col>3</xdr:col>
      <xdr:colOff>258792</xdr:colOff>
      <xdr:row>19</xdr:row>
      <xdr:rowOff>0</xdr:rowOff>
    </xdr:to>
    <xdr:sp macro="" textlink="">
      <xdr:nvSpPr>
        <xdr:cNvPr id="75779" name="AutoShape 3"/>
        <xdr:cNvSpPr>
          <a:spLocks/>
        </xdr:cNvSpPr>
      </xdr:nvSpPr>
      <xdr:spPr bwMode="auto">
        <a:xfrm>
          <a:off x="3614468" y="1940943"/>
          <a:ext cx="112143" cy="1854680"/>
        </a:xfrm>
        <a:prstGeom prst="rightBrace">
          <a:avLst>
            <a:gd name="adj1" fmla="val 137821"/>
            <a:gd name="adj2" fmla="val 50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146649</xdr:colOff>
      <xdr:row>1</xdr:row>
      <xdr:rowOff>34506</xdr:rowOff>
    </xdr:from>
    <xdr:to>
      <xdr:col>4</xdr:col>
      <xdr:colOff>733245</xdr:colOff>
      <xdr:row>2</xdr:row>
      <xdr:rowOff>120770</xdr:rowOff>
    </xdr:to>
    <xdr:sp macro="" textlink="">
      <xdr:nvSpPr>
        <xdr:cNvPr id="75780" name="WordArt 4"/>
        <xdr:cNvSpPr>
          <a:spLocks noChangeArrowheads="1" noChangeShapeType="1" noTextEdit="1"/>
        </xdr:cNvSpPr>
      </xdr:nvSpPr>
      <xdr:spPr bwMode="auto">
        <a:xfrm>
          <a:off x="4692770" y="276045"/>
          <a:ext cx="586596" cy="284672"/>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8</xdr:col>
      <xdr:colOff>267419</xdr:colOff>
      <xdr:row>16</xdr:row>
      <xdr:rowOff>17253</xdr:rowOff>
    </xdr:from>
    <xdr:to>
      <xdr:col>9</xdr:col>
      <xdr:colOff>293298</xdr:colOff>
      <xdr:row>17</xdr:row>
      <xdr:rowOff>112143</xdr:rowOff>
    </xdr:to>
    <xdr:sp macro="" textlink="">
      <xdr:nvSpPr>
        <xdr:cNvPr id="75781" name="WordArt 5" descr="Papier Kraft"/>
        <xdr:cNvSpPr>
          <a:spLocks noChangeArrowheads="1" noChangeShapeType="1" noTextEdit="1"/>
        </xdr:cNvSpPr>
      </xdr:nvSpPr>
      <xdr:spPr bwMode="auto">
        <a:xfrm>
          <a:off x="7919049" y="3217653"/>
          <a:ext cx="672860" cy="293298"/>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1"/>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xdr:twoCellAnchor>
    <xdr:from>
      <xdr:col>5</xdr:col>
      <xdr:colOff>224287</xdr:colOff>
      <xdr:row>15</xdr:row>
      <xdr:rowOff>8626</xdr:rowOff>
    </xdr:from>
    <xdr:to>
      <xdr:col>5</xdr:col>
      <xdr:colOff>319177</xdr:colOff>
      <xdr:row>16</xdr:row>
      <xdr:rowOff>60385</xdr:rowOff>
    </xdr:to>
    <xdr:sp macro="" textlink="">
      <xdr:nvSpPr>
        <xdr:cNvPr id="75782" name="Line 6"/>
        <xdr:cNvSpPr>
          <a:spLocks noChangeShapeType="1"/>
        </xdr:cNvSpPr>
      </xdr:nvSpPr>
      <xdr:spPr bwMode="auto">
        <a:xfrm>
          <a:off x="5529532" y="3010619"/>
          <a:ext cx="94891" cy="2501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155275</xdr:colOff>
          <xdr:row>7</xdr:row>
          <xdr:rowOff>60385</xdr:rowOff>
        </xdr:from>
        <xdr:to>
          <xdr:col>5</xdr:col>
          <xdr:colOff>431321</xdr:colOff>
          <xdr:row>9</xdr:row>
          <xdr:rowOff>103517</xdr:rowOff>
        </xdr:to>
        <xdr:sp macro="" textlink="">
          <xdr:nvSpPr>
            <xdr:cNvPr id="75784" name="Object 8" hidden="1">
              <a:extLst>
                <a:ext uri="{63B3BB69-23CF-44E3-9099-C40C66FF867C}">
                  <a14:compatExt spid="_x0000_s757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215660</xdr:colOff>
          <xdr:row>20</xdr:row>
          <xdr:rowOff>17253</xdr:rowOff>
        </xdr:from>
        <xdr:to>
          <xdr:col>5</xdr:col>
          <xdr:colOff>508958</xdr:colOff>
          <xdr:row>22</xdr:row>
          <xdr:rowOff>77638</xdr:rowOff>
        </xdr:to>
        <xdr:sp macro="" textlink="">
          <xdr:nvSpPr>
            <xdr:cNvPr id="75785" name="Object 9" hidden="1">
              <a:extLst>
                <a:ext uri="{63B3BB69-23CF-44E3-9099-C40C66FF867C}">
                  <a14:compatExt spid="_x0000_s75785"/>
                </a:ext>
              </a:extLst>
            </xdr:cNvPr>
            <xdr:cNvSpPr/>
          </xdr:nvSpPr>
          <xdr:spPr>
            <a:xfrm>
              <a:off x="0" y="0"/>
              <a:ext cx="0" cy="0"/>
            </a:xfrm>
            <a:prstGeom prst="rect">
              <a:avLst/>
            </a:prstGeom>
          </xdr:spPr>
        </xdr:sp>
        <xdr:clientData/>
      </xdr:twoCellAnchor>
    </mc:Choice>
    <mc:Fallback/>
  </mc:AlternateContent>
  <xdr:twoCellAnchor>
    <xdr:from>
      <xdr:col>3</xdr:col>
      <xdr:colOff>388189</xdr:colOff>
      <xdr:row>18</xdr:row>
      <xdr:rowOff>103517</xdr:rowOff>
    </xdr:from>
    <xdr:to>
      <xdr:col>3</xdr:col>
      <xdr:colOff>1000664</xdr:colOff>
      <xdr:row>19</xdr:row>
      <xdr:rowOff>189781</xdr:rowOff>
    </xdr:to>
    <xdr:sp macro="" textlink="">
      <xdr:nvSpPr>
        <xdr:cNvPr id="75786" name="WordArt 10"/>
        <xdr:cNvSpPr>
          <a:spLocks noChangeArrowheads="1" noChangeShapeType="1" noTextEdit="1"/>
        </xdr:cNvSpPr>
      </xdr:nvSpPr>
      <xdr:spPr bwMode="auto">
        <a:xfrm>
          <a:off x="3856008" y="3700732"/>
          <a:ext cx="612475" cy="284672"/>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5</xdr:col>
      <xdr:colOff>362309</xdr:colOff>
      <xdr:row>0</xdr:row>
      <xdr:rowOff>0</xdr:rowOff>
    </xdr:from>
    <xdr:to>
      <xdr:col>11</xdr:col>
      <xdr:colOff>388189</xdr:colOff>
      <xdr:row>1</xdr:row>
      <xdr:rowOff>86264</xdr:rowOff>
    </xdr:to>
    <xdr:sp macro="" textlink="">
      <xdr:nvSpPr>
        <xdr:cNvPr id="75787" name="Text Box 11"/>
        <xdr:cNvSpPr txBox="1">
          <a:spLocks noChangeArrowheads="1"/>
        </xdr:cNvSpPr>
      </xdr:nvSpPr>
      <xdr:spPr bwMode="auto">
        <a:xfrm>
          <a:off x="5667555" y="0"/>
          <a:ext cx="3942271" cy="327804"/>
        </a:xfrm>
        <a:prstGeom prst="rect">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45720" tIns="36576" rIns="45720" bIns="0" anchor="t" upright="1"/>
        <a:lstStyle/>
        <a:p>
          <a:pPr algn="ctr" rtl="0">
            <a:defRPr sz="1000"/>
          </a:pPr>
          <a:r>
            <a:rPr lang="fr-FR" sz="1600" b="1" i="0" u="none" strike="noStrike" baseline="0">
              <a:solidFill>
                <a:srgbClr val="000000"/>
              </a:solidFill>
              <a:latin typeface="Arial"/>
              <a:cs typeface="Arial"/>
            </a:rPr>
            <a:t> POTEAU COMPRIME ET FLECHI</a:t>
          </a:r>
          <a:endParaRPr lang="fr-FR" sz="1100" b="1" i="0" u="none" strike="noStrike" baseline="0">
            <a:solidFill>
              <a:srgbClr val="000000"/>
            </a:solidFill>
            <a:latin typeface="Arial"/>
            <a:cs typeface="Arial"/>
          </a:endParaRPr>
        </a:p>
        <a:p>
          <a:pPr algn="ctr" rtl="0">
            <a:defRPr sz="1000"/>
          </a:pPr>
          <a:endParaRPr lang="fr-FR"/>
        </a:p>
      </xdr:txBody>
    </xdr:sp>
    <xdr:clientData/>
  </xdr:twoCellAnchor>
  <mc:AlternateContent xmlns:mc="http://schemas.openxmlformats.org/markup-compatibility/2006">
    <mc:Choice xmlns:a14="http://schemas.microsoft.com/office/drawing/2010/main" Requires="a14">
      <xdr:twoCellAnchor>
        <xdr:from>
          <xdr:col>2</xdr:col>
          <xdr:colOff>284672</xdr:colOff>
          <xdr:row>51</xdr:row>
          <xdr:rowOff>51758</xdr:rowOff>
        </xdr:from>
        <xdr:to>
          <xdr:col>5</xdr:col>
          <xdr:colOff>491706</xdr:colOff>
          <xdr:row>55</xdr:row>
          <xdr:rowOff>60385</xdr:rowOff>
        </xdr:to>
        <xdr:sp macro="" textlink="">
          <xdr:nvSpPr>
            <xdr:cNvPr id="75789" name="Object 13" hidden="1">
              <a:extLst>
                <a:ext uri="{63B3BB69-23CF-44E3-9099-C40C66FF867C}">
                  <a14:compatExt spid="_x0000_s757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43132</xdr:colOff>
          <xdr:row>51</xdr:row>
          <xdr:rowOff>8626</xdr:rowOff>
        </xdr:from>
        <xdr:to>
          <xdr:col>11</xdr:col>
          <xdr:colOff>215660</xdr:colOff>
          <xdr:row>59</xdr:row>
          <xdr:rowOff>17253</xdr:rowOff>
        </xdr:to>
        <xdr:sp macro="" textlink="">
          <xdr:nvSpPr>
            <xdr:cNvPr id="75790" name="Object 14" hidden="1">
              <a:extLst>
                <a:ext uri="{63B3BB69-23CF-44E3-9099-C40C66FF867C}">
                  <a14:compatExt spid="_x0000_s757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1069675</xdr:colOff>
          <xdr:row>11</xdr:row>
          <xdr:rowOff>25879</xdr:rowOff>
        </xdr:from>
        <xdr:to>
          <xdr:col>6</xdr:col>
          <xdr:colOff>612475</xdr:colOff>
          <xdr:row>15</xdr:row>
          <xdr:rowOff>0</xdr:rowOff>
        </xdr:to>
        <xdr:sp macro="" textlink="">
          <xdr:nvSpPr>
            <xdr:cNvPr id="75792" name="Object 16" hidden="1">
              <a:extLst>
                <a:ext uri="{63B3BB69-23CF-44E3-9099-C40C66FF867C}">
                  <a14:compatExt spid="_x0000_s75792"/>
                </a:ext>
              </a:extLst>
            </xdr:cNvPr>
            <xdr:cNvSpPr/>
          </xdr:nvSpPr>
          <xdr:spPr>
            <a:xfrm>
              <a:off x="0" y="0"/>
              <a:ext cx="0" cy="0"/>
            </a:xfrm>
            <a:prstGeom prst="rect">
              <a:avLst/>
            </a:prstGeom>
          </xdr:spPr>
        </xdr:sp>
        <xdr:clientData/>
      </xdr:twoCellAnchor>
    </mc:Choice>
    <mc:Fallback/>
  </mc:AlternateContent>
  <xdr:twoCellAnchor>
    <xdr:from>
      <xdr:col>5</xdr:col>
      <xdr:colOff>405442</xdr:colOff>
      <xdr:row>8</xdr:row>
      <xdr:rowOff>189781</xdr:rowOff>
    </xdr:from>
    <xdr:to>
      <xdr:col>6</xdr:col>
      <xdr:colOff>491706</xdr:colOff>
      <xdr:row>11</xdr:row>
      <xdr:rowOff>77638</xdr:rowOff>
    </xdr:to>
    <xdr:sp macro="" textlink="">
      <xdr:nvSpPr>
        <xdr:cNvPr id="75793" name="Line 17"/>
        <xdr:cNvSpPr>
          <a:spLocks noChangeShapeType="1"/>
        </xdr:cNvSpPr>
      </xdr:nvSpPr>
      <xdr:spPr bwMode="auto">
        <a:xfrm flipV="1">
          <a:off x="5710687" y="1794294"/>
          <a:ext cx="854015" cy="422695"/>
        </a:xfrm>
        <a:prstGeom prst="line">
          <a:avLst/>
        </a:prstGeom>
        <a:noFill/>
        <a:ln w="28575">
          <a:solidFill>
            <a:srgbClr xmlns:mc="http://schemas.openxmlformats.org/markup-compatibility/2006" xmlns:a14="http://schemas.microsoft.com/office/drawing/2010/main" val="3366FF" mc:Ignorable="a14" a14:legacySpreadsheetColorIndex="48"/>
          </a:solidFill>
          <a:round/>
          <a:headEnd/>
          <a:tailEnd type="triangle" w="med" len="me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163902</xdr:colOff>
          <xdr:row>4</xdr:row>
          <xdr:rowOff>25879</xdr:rowOff>
        </xdr:from>
        <xdr:to>
          <xdr:col>5</xdr:col>
          <xdr:colOff>336430</xdr:colOff>
          <xdr:row>7</xdr:row>
          <xdr:rowOff>0</xdr:rowOff>
        </xdr:to>
        <xdr:sp macro="" textlink="">
          <xdr:nvSpPr>
            <xdr:cNvPr id="76801" name="Object 1" hidden="1">
              <a:extLst>
                <a:ext uri="{63B3BB69-23CF-44E3-9099-C40C66FF867C}">
                  <a14:compatExt spid="_x0000_s76801"/>
                </a:ext>
              </a:extLst>
            </xdr:cNvPr>
            <xdr:cNvSpPr/>
          </xdr:nvSpPr>
          <xdr:spPr>
            <a:xfrm>
              <a:off x="0" y="0"/>
              <a:ext cx="0" cy="0"/>
            </a:xfrm>
            <a:prstGeom prst="rect">
              <a:avLst/>
            </a:prstGeom>
          </xdr:spPr>
        </xdr:sp>
        <xdr:clientData/>
      </xdr:twoCellAnchor>
    </mc:Choice>
    <mc:Fallback/>
  </mc:AlternateContent>
  <xdr:twoCellAnchor>
    <xdr:from>
      <xdr:col>3</xdr:col>
      <xdr:colOff>319177</xdr:colOff>
      <xdr:row>14</xdr:row>
      <xdr:rowOff>120770</xdr:rowOff>
    </xdr:from>
    <xdr:to>
      <xdr:col>3</xdr:col>
      <xdr:colOff>474453</xdr:colOff>
      <xdr:row>14</xdr:row>
      <xdr:rowOff>129396</xdr:rowOff>
    </xdr:to>
    <xdr:sp macro="" textlink="">
      <xdr:nvSpPr>
        <xdr:cNvPr id="76802" name="Line 2"/>
        <xdr:cNvSpPr>
          <a:spLocks noChangeShapeType="1"/>
        </xdr:cNvSpPr>
      </xdr:nvSpPr>
      <xdr:spPr bwMode="auto">
        <a:xfrm flipV="1">
          <a:off x="3786996" y="2907102"/>
          <a:ext cx="155276" cy="86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146649</xdr:colOff>
      <xdr:row>10</xdr:row>
      <xdr:rowOff>17253</xdr:rowOff>
    </xdr:from>
    <xdr:to>
      <xdr:col>3</xdr:col>
      <xdr:colOff>258792</xdr:colOff>
      <xdr:row>19</xdr:row>
      <xdr:rowOff>0</xdr:rowOff>
    </xdr:to>
    <xdr:sp macro="" textlink="">
      <xdr:nvSpPr>
        <xdr:cNvPr id="76803" name="AutoShape 3"/>
        <xdr:cNvSpPr>
          <a:spLocks/>
        </xdr:cNvSpPr>
      </xdr:nvSpPr>
      <xdr:spPr bwMode="auto">
        <a:xfrm>
          <a:off x="3614468" y="1940943"/>
          <a:ext cx="112143" cy="1854680"/>
        </a:xfrm>
        <a:prstGeom prst="rightBrace">
          <a:avLst>
            <a:gd name="adj1" fmla="val 137821"/>
            <a:gd name="adj2" fmla="val 50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163902</xdr:colOff>
      <xdr:row>2</xdr:row>
      <xdr:rowOff>138023</xdr:rowOff>
    </xdr:from>
    <xdr:to>
      <xdr:col>4</xdr:col>
      <xdr:colOff>750498</xdr:colOff>
      <xdr:row>4</xdr:row>
      <xdr:rowOff>17253</xdr:rowOff>
    </xdr:to>
    <xdr:sp macro="" textlink="">
      <xdr:nvSpPr>
        <xdr:cNvPr id="76804" name="WordArt 4"/>
        <xdr:cNvSpPr>
          <a:spLocks noChangeArrowheads="1" noChangeShapeType="1" noTextEdit="1"/>
        </xdr:cNvSpPr>
      </xdr:nvSpPr>
      <xdr:spPr bwMode="auto">
        <a:xfrm>
          <a:off x="4710023" y="577970"/>
          <a:ext cx="586596" cy="276045"/>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7</xdr:col>
      <xdr:colOff>465826</xdr:colOff>
      <xdr:row>13</xdr:row>
      <xdr:rowOff>25879</xdr:rowOff>
    </xdr:from>
    <xdr:to>
      <xdr:col>8</xdr:col>
      <xdr:colOff>414068</xdr:colOff>
      <xdr:row>14</xdr:row>
      <xdr:rowOff>103517</xdr:rowOff>
    </xdr:to>
    <xdr:sp macro="" textlink="">
      <xdr:nvSpPr>
        <xdr:cNvPr id="76805" name="WordArt 5" descr="Papier Kraft"/>
        <xdr:cNvSpPr>
          <a:spLocks noChangeArrowheads="1" noChangeShapeType="1" noTextEdit="1"/>
        </xdr:cNvSpPr>
      </xdr:nvSpPr>
      <xdr:spPr bwMode="auto">
        <a:xfrm>
          <a:off x="7384211" y="2596551"/>
          <a:ext cx="681487" cy="293298"/>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1"/>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xdr:twoCellAnchor>
    <xdr:from>
      <xdr:col>5</xdr:col>
      <xdr:colOff>224287</xdr:colOff>
      <xdr:row>15</xdr:row>
      <xdr:rowOff>8626</xdr:rowOff>
    </xdr:from>
    <xdr:to>
      <xdr:col>5</xdr:col>
      <xdr:colOff>319177</xdr:colOff>
      <xdr:row>16</xdr:row>
      <xdr:rowOff>60385</xdr:rowOff>
    </xdr:to>
    <xdr:sp macro="" textlink="">
      <xdr:nvSpPr>
        <xdr:cNvPr id="76806" name="Line 6"/>
        <xdr:cNvSpPr>
          <a:spLocks noChangeShapeType="1"/>
        </xdr:cNvSpPr>
      </xdr:nvSpPr>
      <xdr:spPr bwMode="auto">
        <a:xfrm>
          <a:off x="5529532" y="3010619"/>
          <a:ext cx="94891" cy="2501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155275</xdr:colOff>
          <xdr:row>7</xdr:row>
          <xdr:rowOff>60385</xdr:rowOff>
        </xdr:from>
        <xdr:to>
          <xdr:col>5</xdr:col>
          <xdr:colOff>431321</xdr:colOff>
          <xdr:row>9</xdr:row>
          <xdr:rowOff>103517</xdr:rowOff>
        </xdr:to>
        <xdr:sp macro="" textlink="">
          <xdr:nvSpPr>
            <xdr:cNvPr id="76808" name="Object 8" hidden="1">
              <a:extLst>
                <a:ext uri="{63B3BB69-23CF-44E3-9099-C40C66FF867C}">
                  <a14:compatExt spid="_x0000_s76808"/>
                </a:ext>
              </a:extLst>
            </xdr:cNvPr>
            <xdr:cNvSpPr/>
          </xdr:nvSpPr>
          <xdr:spPr>
            <a:xfrm>
              <a:off x="0" y="0"/>
              <a:ext cx="0" cy="0"/>
            </a:xfrm>
            <a:prstGeom prst="rect">
              <a:avLst/>
            </a:prstGeom>
          </xdr:spPr>
        </xdr:sp>
        <xdr:clientData/>
      </xdr:twoCellAnchor>
    </mc:Choice>
    <mc:Fallback/>
  </mc:AlternateContent>
  <xdr:twoCellAnchor>
    <xdr:from>
      <xdr:col>5</xdr:col>
      <xdr:colOff>336430</xdr:colOff>
      <xdr:row>22</xdr:row>
      <xdr:rowOff>25879</xdr:rowOff>
    </xdr:from>
    <xdr:to>
      <xdr:col>6</xdr:col>
      <xdr:colOff>172528</xdr:colOff>
      <xdr:row>23</xdr:row>
      <xdr:rowOff>103517</xdr:rowOff>
    </xdr:to>
    <xdr:sp macro="" textlink="">
      <xdr:nvSpPr>
        <xdr:cNvPr id="76809" name="WordArt 9"/>
        <xdr:cNvSpPr>
          <a:spLocks noChangeArrowheads="1" noChangeShapeType="1" noTextEdit="1"/>
        </xdr:cNvSpPr>
      </xdr:nvSpPr>
      <xdr:spPr bwMode="auto">
        <a:xfrm>
          <a:off x="5641675" y="4416725"/>
          <a:ext cx="603850" cy="276045"/>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mc:AlternateContent xmlns:mc="http://schemas.openxmlformats.org/markup-compatibility/2006">
    <mc:Choice xmlns:a14="http://schemas.microsoft.com/office/drawing/2010/main" Requires="a14">
      <xdr:twoCellAnchor>
        <xdr:from>
          <xdr:col>3</xdr:col>
          <xdr:colOff>51758</xdr:colOff>
          <xdr:row>20</xdr:row>
          <xdr:rowOff>25879</xdr:rowOff>
        </xdr:from>
        <xdr:to>
          <xdr:col>5</xdr:col>
          <xdr:colOff>741872</xdr:colOff>
          <xdr:row>22</xdr:row>
          <xdr:rowOff>172528</xdr:rowOff>
        </xdr:to>
        <xdr:sp macro="" textlink="">
          <xdr:nvSpPr>
            <xdr:cNvPr id="76810" name="Object 10" hidden="1">
              <a:extLst>
                <a:ext uri="{63B3BB69-23CF-44E3-9099-C40C66FF867C}">
                  <a14:compatExt spid="_x0000_s768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94891</xdr:colOff>
          <xdr:row>19</xdr:row>
          <xdr:rowOff>155275</xdr:rowOff>
        </xdr:from>
        <xdr:to>
          <xdr:col>11</xdr:col>
          <xdr:colOff>215660</xdr:colOff>
          <xdr:row>22</xdr:row>
          <xdr:rowOff>86264</xdr:rowOff>
        </xdr:to>
        <xdr:sp macro="" textlink="">
          <xdr:nvSpPr>
            <xdr:cNvPr id="76813" name="Object 13" hidden="1">
              <a:extLst>
                <a:ext uri="{63B3BB69-23CF-44E3-9099-C40C66FF867C}">
                  <a14:compatExt spid="_x0000_s768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828136</xdr:colOff>
          <xdr:row>10</xdr:row>
          <xdr:rowOff>198408</xdr:rowOff>
        </xdr:from>
        <xdr:to>
          <xdr:col>6</xdr:col>
          <xdr:colOff>569343</xdr:colOff>
          <xdr:row>14</xdr:row>
          <xdr:rowOff>120770</xdr:rowOff>
        </xdr:to>
        <xdr:sp macro="" textlink="">
          <xdr:nvSpPr>
            <xdr:cNvPr id="76825" name="Object 25" hidden="1">
              <a:extLst>
                <a:ext uri="{63B3BB69-23CF-44E3-9099-C40C66FF867C}">
                  <a14:compatExt spid="_x0000_s76825"/>
                </a:ext>
              </a:extLst>
            </xdr:cNvPr>
            <xdr:cNvSpPr/>
          </xdr:nvSpPr>
          <xdr:spPr>
            <a:xfrm>
              <a:off x="0" y="0"/>
              <a:ext cx="0" cy="0"/>
            </a:xfrm>
            <a:prstGeom prst="rect">
              <a:avLst/>
            </a:prstGeom>
          </xdr:spPr>
        </xdr:sp>
        <xdr:clientData/>
      </xdr:twoCellAnchor>
    </mc:Choice>
    <mc:Fallback/>
  </mc:AlternateContent>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163902</xdr:colOff>
          <xdr:row>4</xdr:row>
          <xdr:rowOff>25879</xdr:rowOff>
        </xdr:from>
        <xdr:to>
          <xdr:col>5</xdr:col>
          <xdr:colOff>336430</xdr:colOff>
          <xdr:row>7</xdr:row>
          <xdr:rowOff>0</xdr:rowOff>
        </xdr:to>
        <xdr:sp macro="" textlink="">
          <xdr:nvSpPr>
            <xdr:cNvPr id="36865" name="Object 1" hidden="1">
              <a:extLst>
                <a:ext uri="{63B3BB69-23CF-44E3-9099-C40C66FF867C}">
                  <a14:compatExt spid="_x0000_s36865"/>
                </a:ext>
              </a:extLst>
            </xdr:cNvPr>
            <xdr:cNvSpPr/>
          </xdr:nvSpPr>
          <xdr:spPr>
            <a:xfrm>
              <a:off x="0" y="0"/>
              <a:ext cx="0" cy="0"/>
            </a:xfrm>
            <a:prstGeom prst="rect">
              <a:avLst/>
            </a:prstGeom>
          </xdr:spPr>
        </xdr:sp>
        <xdr:clientData/>
      </xdr:twoCellAnchor>
    </mc:Choice>
    <mc:Fallback/>
  </mc:AlternateContent>
  <xdr:twoCellAnchor>
    <xdr:from>
      <xdr:col>3</xdr:col>
      <xdr:colOff>319177</xdr:colOff>
      <xdr:row>14</xdr:row>
      <xdr:rowOff>120770</xdr:rowOff>
    </xdr:from>
    <xdr:to>
      <xdr:col>3</xdr:col>
      <xdr:colOff>474453</xdr:colOff>
      <xdr:row>14</xdr:row>
      <xdr:rowOff>129396</xdr:rowOff>
    </xdr:to>
    <xdr:sp macro="" textlink="">
      <xdr:nvSpPr>
        <xdr:cNvPr id="36866" name="Line 2"/>
        <xdr:cNvSpPr>
          <a:spLocks noChangeShapeType="1"/>
        </xdr:cNvSpPr>
      </xdr:nvSpPr>
      <xdr:spPr bwMode="auto">
        <a:xfrm flipV="1">
          <a:off x="3786996" y="2907102"/>
          <a:ext cx="155276" cy="86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146649</xdr:colOff>
      <xdr:row>10</xdr:row>
      <xdr:rowOff>17253</xdr:rowOff>
    </xdr:from>
    <xdr:to>
      <xdr:col>3</xdr:col>
      <xdr:colOff>258792</xdr:colOff>
      <xdr:row>19</xdr:row>
      <xdr:rowOff>0</xdr:rowOff>
    </xdr:to>
    <xdr:sp macro="" textlink="">
      <xdr:nvSpPr>
        <xdr:cNvPr id="36867" name="AutoShape 3"/>
        <xdr:cNvSpPr>
          <a:spLocks/>
        </xdr:cNvSpPr>
      </xdr:nvSpPr>
      <xdr:spPr bwMode="auto">
        <a:xfrm>
          <a:off x="3614468" y="1940943"/>
          <a:ext cx="112143" cy="1854680"/>
        </a:xfrm>
        <a:prstGeom prst="rightBrace">
          <a:avLst>
            <a:gd name="adj1" fmla="val 137821"/>
            <a:gd name="adj2" fmla="val 50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163902</xdr:colOff>
      <xdr:row>2</xdr:row>
      <xdr:rowOff>138023</xdr:rowOff>
    </xdr:from>
    <xdr:to>
      <xdr:col>4</xdr:col>
      <xdr:colOff>750498</xdr:colOff>
      <xdr:row>4</xdr:row>
      <xdr:rowOff>17253</xdr:rowOff>
    </xdr:to>
    <xdr:sp macro="" textlink="">
      <xdr:nvSpPr>
        <xdr:cNvPr id="36868" name="WordArt 4"/>
        <xdr:cNvSpPr>
          <a:spLocks noChangeArrowheads="1" noChangeShapeType="1" noTextEdit="1"/>
        </xdr:cNvSpPr>
      </xdr:nvSpPr>
      <xdr:spPr bwMode="auto">
        <a:xfrm>
          <a:off x="4710023" y="577970"/>
          <a:ext cx="586596" cy="276045"/>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9</xdr:col>
      <xdr:colOff>0</xdr:colOff>
      <xdr:row>15</xdr:row>
      <xdr:rowOff>181155</xdr:rowOff>
    </xdr:from>
    <xdr:to>
      <xdr:col>10</xdr:col>
      <xdr:colOff>310551</xdr:colOff>
      <xdr:row>17</xdr:row>
      <xdr:rowOff>77638</xdr:rowOff>
    </xdr:to>
    <xdr:sp macro="" textlink="">
      <xdr:nvSpPr>
        <xdr:cNvPr id="36869" name="WordArt 5" descr="Papier Kraft"/>
        <xdr:cNvSpPr>
          <a:spLocks noChangeArrowheads="1" noChangeShapeType="1" noTextEdit="1"/>
        </xdr:cNvSpPr>
      </xdr:nvSpPr>
      <xdr:spPr bwMode="auto">
        <a:xfrm>
          <a:off x="8298611" y="3183147"/>
          <a:ext cx="672861" cy="293298"/>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1"/>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xdr:twoCellAnchor>
    <xdr:from>
      <xdr:col>5</xdr:col>
      <xdr:colOff>224287</xdr:colOff>
      <xdr:row>15</xdr:row>
      <xdr:rowOff>8626</xdr:rowOff>
    </xdr:from>
    <xdr:to>
      <xdr:col>5</xdr:col>
      <xdr:colOff>319177</xdr:colOff>
      <xdr:row>16</xdr:row>
      <xdr:rowOff>60385</xdr:rowOff>
    </xdr:to>
    <xdr:sp macro="" textlink="">
      <xdr:nvSpPr>
        <xdr:cNvPr id="36870" name="Line 6"/>
        <xdr:cNvSpPr>
          <a:spLocks noChangeShapeType="1"/>
        </xdr:cNvSpPr>
      </xdr:nvSpPr>
      <xdr:spPr bwMode="auto">
        <a:xfrm>
          <a:off x="5529532" y="3010619"/>
          <a:ext cx="94891" cy="2501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353683</xdr:colOff>
      <xdr:row>14</xdr:row>
      <xdr:rowOff>146649</xdr:rowOff>
    </xdr:from>
    <xdr:to>
      <xdr:col>7</xdr:col>
      <xdr:colOff>414068</xdr:colOff>
      <xdr:row>16</xdr:row>
      <xdr:rowOff>60385</xdr:rowOff>
    </xdr:to>
    <xdr:sp macro="" textlink="">
      <xdr:nvSpPr>
        <xdr:cNvPr id="36871" name="Line 7"/>
        <xdr:cNvSpPr>
          <a:spLocks noChangeShapeType="1"/>
        </xdr:cNvSpPr>
      </xdr:nvSpPr>
      <xdr:spPr bwMode="auto">
        <a:xfrm flipH="1">
          <a:off x="7272068" y="2932981"/>
          <a:ext cx="60385" cy="3278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155275</xdr:colOff>
          <xdr:row>7</xdr:row>
          <xdr:rowOff>60385</xdr:rowOff>
        </xdr:from>
        <xdr:to>
          <xdr:col>5</xdr:col>
          <xdr:colOff>431321</xdr:colOff>
          <xdr:row>9</xdr:row>
          <xdr:rowOff>103517</xdr:rowOff>
        </xdr:to>
        <xdr:sp macro="" textlink="">
          <xdr:nvSpPr>
            <xdr:cNvPr id="36872" name="Object 8" hidden="1">
              <a:extLst>
                <a:ext uri="{63B3BB69-23CF-44E3-9099-C40C66FF867C}">
                  <a14:compatExt spid="_x0000_s36872"/>
                </a:ext>
              </a:extLst>
            </xdr:cNvPr>
            <xdr:cNvSpPr/>
          </xdr:nvSpPr>
          <xdr:spPr>
            <a:xfrm>
              <a:off x="0" y="0"/>
              <a:ext cx="0" cy="0"/>
            </a:xfrm>
            <a:prstGeom prst="rect">
              <a:avLst/>
            </a:prstGeom>
          </xdr:spPr>
        </xdr:sp>
        <xdr:clientData/>
      </xdr:twoCellAnchor>
    </mc:Choice>
    <mc:Fallback/>
  </mc:AlternateContent>
  <xdr:twoCellAnchor>
    <xdr:from>
      <xdr:col>5</xdr:col>
      <xdr:colOff>336430</xdr:colOff>
      <xdr:row>22</xdr:row>
      <xdr:rowOff>25879</xdr:rowOff>
    </xdr:from>
    <xdr:to>
      <xdr:col>6</xdr:col>
      <xdr:colOff>172528</xdr:colOff>
      <xdr:row>23</xdr:row>
      <xdr:rowOff>103517</xdr:rowOff>
    </xdr:to>
    <xdr:sp macro="" textlink="">
      <xdr:nvSpPr>
        <xdr:cNvPr id="36885" name="WordArt 21"/>
        <xdr:cNvSpPr>
          <a:spLocks noChangeArrowheads="1" noChangeShapeType="1" noTextEdit="1"/>
        </xdr:cNvSpPr>
      </xdr:nvSpPr>
      <xdr:spPr bwMode="auto">
        <a:xfrm>
          <a:off x="5641675" y="4416725"/>
          <a:ext cx="603850" cy="276045"/>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mc:AlternateContent xmlns:mc="http://schemas.openxmlformats.org/markup-compatibility/2006">
    <mc:Choice xmlns:a14="http://schemas.microsoft.com/office/drawing/2010/main" Requires="a14">
      <xdr:twoCellAnchor>
        <xdr:from>
          <xdr:col>3</xdr:col>
          <xdr:colOff>51758</xdr:colOff>
          <xdr:row>20</xdr:row>
          <xdr:rowOff>25879</xdr:rowOff>
        </xdr:from>
        <xdr:to>
          <xdr:col>5</xdr:col>
          <xdr:colOff>741872</xdr:colOff>
          <xdr:row>22</xdr:row>
          <xdr:rowOff>172528</xdr:rowOff>
        </xdr:to>
        <xdr:sp macro="" textlink="">
          <xdr:nvSpPr>
            <xdr:cNvPr id="36886" name="Object 22" hidden="1">
              <a:extLst>
                <a:ext uri="{63B3BB69-23CF-44E3-9099-C40C66FF867C}">
                  <a14:compatExt spid="_x0000_s368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457200</xdr:colOff>
          <xdr:row>11</xdr:row>
          <xdr:rowOff>86264</xdr:rowOff>
        </xdr:from>
        <xdr:to>
          <xdr:col>6</xdr:col>
          <xdr:colOff>439947</xdr:colOff>
          <xdr:row>14</xdr:row>
          <xdr:rowOff>69011</xdr:rowOff>
        </xdr:to>
        <xdr:sp macro="" textlink="">
          <xdr:nvSpPr>
            <xdr:cNvPr id="36890" name="Object 26" hidden="1">
              <a:extLst>
                <a:ext uri="{63B3BB69-23CF-44E3-9099-C40C66FF867C}">
                  <a14:compatExt spid="_x0000_s368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560717</xdr:colOff>
          <xdr:row>11</xdr:row>
          <xdr:rowOff>60385</xdr:rowOff>
        </xdr:from>
        <xdr:to>
          <xdr:col>11</xdr:col>
          <xdr:colOff>439947</xdr:colOff>
          <xdr:row>14</xdr:row>
          <xdr:rowOff>60385</xdr:rowOff>
        </xdr:to>
        <xdr:sp macro="" textlink="">
          <xdr:nvSpPr>
            <xdr:cNvPr id="36891" name="Object 27" hidden="1">
              <a:extLst>
                <a:ext uri="{63B3BB69-23CF-44E3-9099-C40C66FF867C}">
                  <a14:compatExt spid="_x0000_s368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94891</xdr:colOff>
          <xdr:row>19</xdr:row>
          <xdr:rowOff>155275</xdr:rowOff>
        </xdr:from>
        <xdr:to>
          <xdr:col>11</xdr:col>
          <xdr:colOff>215660</xdr:colOff>
          <xdr:row>22</xdr:row>
          <xdr:rowOff>86264</xdr:rowOff>
        </xdr:to>
        <xdr:sp macro="" textlink="">
          <xdr:nvSpPr>
            <xdr:cNvPr id="36892" name="Object 28" hidden="1">
              <a:extLst>
                <a:ext uri="{63B3BB69-23CF-44E3-9099-C40C66FF867C}">
                  <a14:compatExt spid="_x0000_s36892"/>
                </a:ext>
              </a:extLst>
            </xdr:cNvPr>
            <xdr:cNvSpPr/>
          </xdr:nvSpPr>
          <xdr:spPr>
            <a:xfrm>
              <a:off x="0" y="0"/>
              <a:ext cx="0" cy="0"/>
            </a:xfrm>
            <a:prstGeom prst="rect">
              <a:avLst/>
            </a:prstGeom>
          </xdr:spPr>
        </xdr:sp>
        <xdr:clientData/>
      </xdr:twoCellAnchor>
    </mc:Choice>
    <mc:Fallback/>
  </mc:AlternateContent>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715992</xdr:colOff>
          <xdr:row>17</xdr:row>
          <xdr:rowOff>163902</xdr:rowOff>
        </xdr:from>
        <xdr:to>
          <xdr:col>10</xdr:col>
          <xdr:colOff>241540</xdr:colOff>
          <xdr:row>21</xdr:row>
          <xdr:rowOff>86264</xdr:rowOff>
        </xdr:to>
        <xdr:sp macro="" textlink="">
          <xdr:nvSpPr>
            <xdr:cNvPr id="37890" name="Object 2" hidden="1">
              <a:extLst>
                <a:ext uri="{63B3BB69-23CF-44E3-9099-C40C66FF867C}">
                  <a14:compatExt spid="_x0000_s378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60385</xdr:colOff>
          <xdr:row>3</xdr:row>
          <xdr:rowOff>163902</xdr:rowOff>
        </xdr:from>
        <xdr:to>
          <xdr:col>10</xdr:col>
          <xdr:colOff>163902</xdr:colOff>
          <xdr:row>6</xdr:row>
          <xdr:rowOff>138023</xdr:rowOff>
        </xdr:to>
        <xdr:sp macro="" textlink="">
          <xdr:nvSpPr>
            <xdr:cNvPr id="37891" name="Object 3" hidden="1">
              <a:extLst>
                <a:ext uri="{63B3BB69-23CF-44E3-9099-C40C66FF867C}">
                  <a14:compatExt spid="_x0000_s37891"/>
                </a:ext>
              </a:extLst>
            </xdr:cNvPr>
            <xdr:cNvSpPr/>
          </xdr:nvSpPr>
          <xdr:spPr>
            <a:xfrm>
              <a:off x="0" y="0"/>
              <a:ext cx="0" cy="0"/>
            </a:xfrm>
            <a:prstGeom prst="rect">
              <a:avLst/>
            </a:prstGeom>
          </xdr:spPr>
        </xdr:sp>
        <xdr:clientData/>
      </xdr:twoCellAnchor>
    </mc:Choice>
    <mc:Fallback/>
  </mc:AlternateContent>
  <xdr:twoCellAnchor>
    <xdr:from>
      <xdr:col>3</xdr:col>
      <xdr:colOff>379562</xdr:colOff>
      <xdr:row>13</xdr:row>
      <xdr:rowOff>172528</xdr:rowOff>
    </xdr:from>
    <xdr:to>
      <xdr:col>3</xdr:col>
      <xdr:colOff>733245</xdr:colOff>
      <xdr:row>14</xdr:row>
      <xdr:rowOff>17253</xdr:rowOff>
    </xdr:to>
    <xdr:sp macro="" textlink="">
      <xdr:nvSpPr>
        <xdr:cNvPr id="37893" name="Line 5"/>
        <xdr:cNvSpPr>
          <a:spLocks noChangeShapeType="1"/>
        </xdr:cNvSpPr>
      </xdr:nvSpPr>
      <xdr:spPr bwMode="auto">
        <a:xfrm flipV="1">
          <a:off x="3209026" y="2924355"/>
          <a:ext cx="353683" cy="4313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181155</xdr:colOff>
      <xdr:row>12</xdr:row>
      <xdr:rowOff>25879</xdr:rowOff>
    </xdr:from>
    <xdr:to>
      <xdr:col>3</xdr:col>
      <xdr:colOff>258792</xdr:colOff>
      <xdr:row>16</xdr:row>
      <xdr:rowOff>0</xdr:rowOff>
    </xdr:to>
    <xdr:sp macro="" textlink="">
      <xdr:nvSpPr>
        <xdr:cNvPr id="37894" name="AutoShape 6"/>
        <xdr:cNvSpPr>
          <a:spLocks/>
        </xdr:cNvSpPr>
      </xdr:nvSpPr>
      <xdr:spPr bwMode="auto">
        <a:xfrm>
          <a:off x="3010619" y="2510287"/>
          <a:ext cx="77638" cy="888521"/>
        </a:xfrm>
        <a:prstGeom prst="rightBrace">
          <a:avLst>
            <a:gd name="adj1" fmla="val 9537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112143</xdr:colOff>
      <xdr:row>1</xdr:row>
      <xdr:rowOff>146649</xdr:rowOff>
    </xdr:from>
    <xdr:to>
      <xdr:col>10</xdr:col>
      <xdr:colOff>698740</xdr:colOff>
      <xdr:row>4</xdr:row>
      <xdr:rowOff>181155</xdr:rowOff>
    </xdr:to>
    <xdr:sp macro="" textlink="">
      <xdr:nvSpPr>
        <xdr:cNvPr id="37895" name="WordArt 7"/>
        <xdr:cNvSpPr>
          <a:spLocks noChangeArrowheads="1" noChangeShapeType="1" noTextEdit="1"/>
        </xdr:cNvSpPr>
      </xdr:nvSpPr>
      <xdr:spPr bwMode="auto">
        <a:xfrm>
          <a:off x="8169215" y="422694"/>
          <a:ext cx="586596" cy="577970"/>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5</xdr:col>
      <xdr:colOff>172528</xdr:colOff>
      <xdr:row>20</xdr:row>
      <xdr:rowOff>51758</xdr:rowOff>
    </xdr:from>
    <xdr:to>
      <xdr:col>6</xdr:col>
      <xdr:colOff>258792</xdr:colOff>
      <xdr:row>21</xdr:row>
      <xdr:rowOff>146649</xdr:rowOff>
    </xdr:to>
    <xdr:sp macro="" textlink="">
      <xdr:nvSpPr>
        <xdr:cNvPr id="37897" name="WordArt 9" descr="Papier Kraft"/>
        <xdr:cNvSpPr>
          <a:spLocks noChangeArrowheads="1" noChangeShapeType="1" noTextEdit="1"/>
        </xdr:cNvSpPr>
      </xdr:nvSpPr>
      <xdr:spPr bwMode="auto">
        <a:xfrm>
          <a:off x="4770408" y="4132053"/>
          <a:ext cx="819509" cy="267419"/>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1"/>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xdr:twoCellAnchor>
    <xdr:from>
      <xdr:col>4</xdr:col>
      <xdr:colOff>120770</xdr:colOff>
      <xdr:row>14</xdr:row>
      <xdr:rowOff>8626</xdr:rowOff>
    </xdr:from>
    <xdr:to>
      <xdr:col>4</xdr:col>
      <xdr:colOff>715992</xdr:colOff>
      <xdr:row>14</xdr:row>
      <xdr:rowOff>8626</xdr:rowOff>
    </xdr:to>
    <xdr:sp macro="" textlink="">
      <xdr:nvSpPr>
        <xdr:cNvPr id="37899" name="Line 11"/>
        <xdr:cNvSpPr>
          <a:spLocks noChangeShapeType="1"/>
        </xdr:cNvSpPr>
      </xdr:nvSpPr>
      <xdr:spPr bwMode="auto">
        <a:xfrm>
          <a:off x="3959525" y="2958860"/>
          <a:ext cx="595222"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336430</xdr:colOff>
      <xdr:row>1</xdr:row>
      <xdr:rowOff>17253</xdr:rowOff>
    </xdr:from>
    <xdr:to>
      <xdr:col>7</xdr:col>
      <xdr:colOff>638355</xdr:colOff>
      <xdr:row>7</xdr:row>
      <xdr:rowOff>51758</xdr:rowOff>
    </xdr:to>
    <xdr:pic>
      <xdr:nvPicPr>
        <xdr:cNvPr id="37904" name="Picture 16" descr="a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65894" y="293298"/>
          <a:ext cx="3562710" cy="12163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284672</xdr:colOff>
          <xdr:row>9</xdr:row>
          <xdr:rowOff>60385</xdr:rowOff>
        </xdr:from>
        <xdr:to>
          <xdr:col>5</xdr:col>
          <xdr:colOff>439947</xdr:colOff>
          <xdr:row>11</xdr:row>
          <xdr:rowOff>224287</xdr:rowOff>
        </xdr:to>
        <xdr:sp macro="" textlink="">
          <xdr:nvSpPr>
            <xdr:cNvPr id="37906" name="Object 18" hidden="1">
              <a:extLst>
                <a:ext uri="{63B3BB69-23CF-44E3-9099-C40C66FF867C}">
                  <a14:compatExt spid="_x0000_s379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612475</xdr:colOff>
          <xdr:row>9</xdr:row>
          <xdr:rowOff>69011</xdr:rowOff>
        </xdr:from>
        <xdr:to>
          <xdr:col>8</xdr:col>
          <xdr:colOff>483079</xdr:colOff>
          <xdr:row>12</xdr:row>
          <xdr:rowOff>0</xdr:rowOff>
        </xdr:to>
        <xdr:sp macro="" textlink="">
          <xdr:nvSpPr>
            <xdr:cNvPr id="37910" name="Object 22" hidden="1">
              <a:extLst>
                <a:ext uri="{63B3BB69-23CF-44E3-9099-C40C66FF867C}">
                  <a14:compatExt spid="_x0000_s37910"/>
                </a:ext>
              </a:extLst>
            </xdr:cNvPr>
            <xdr:cNvSpPr/>
          </xdr:nvSpPr>
          <xdr:spPr>
            <a:xfrm>
              <a:off x="0" y="0"/>
              <a:ext cx="0" cy="0"/>
            </a:xfrm>
            <a:prstGeom prst="rect">
              <a:avLst/>
            </a:prstGeom>
          </xdr:spPr>
        </xdr:sp>
        <xdr:clientData/>
      </xdr:twoCellAnchor>
    </mc:Choice>
    <mc:Fallback/>
  </mc:AlternateContent>
  <xdr:twoCellAnchor>
    <xdr:from>
      <xdr:col>6</xdr:col>
      <xdr:colOff>120770</xdr:colOff>
      <xdr:row>14</xdr:row>
      <xdr:rowOff>8626</xdr:rowOff>
    </xdr:from>
    <xdr:to>
      <xdr:col>6</xdr:col>
      <xdr:colOff>715992</xdr:colOff>
      <xdr:row>14</xdr:row>
      <xdr:rowOff>8626</xdr:rowOff>
    </xdr:to>
    <xdr:sp macro="" textlink="">
      <xdr:nvSpPr>
        <xdr:cNvPr id="37911" name="Line 23"/>
        <xdr:cNvSpPr>
          <a:spLocks noChangeShapeType="1"/>
        </xdr:cNvSpPr>
      </xdr:nvSpPr>
      <xdr:spPr bwMode="auto">
        <a:xfrm>
          <a:off x="5451894" y="2958860"/>
          <a:ext cx="595223"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215660</xdr:colOff>
      <xdr:row>17</xdr:row>
      <xdr:rowOff>224287</xdr:rowOff>
    </xdr:from>
    <xdr:to>
      <xdr:col>11</xdr:col>
      <xdr:colOff>51758</xdr:colOff>
      <xdr:row>21</xdr:row>
      <xdr:rowOff>86264</xdr:rowOff>
    </xdr:to>
    <xdr:sp macro="" textlink="">
      <xdr:nvSpPr>
        <xdr:cNvPr id="37912" name="WordArt 24"/>
        <xdr:cNvSpPr>
          <a:spLocks noChangeArrowheads="1" noChangeShapeType="1" noTextEdit="1"/>
        </xdr:cNvSpPr>
      </xdr:nvSpPr>
      <xdr:spPr bwMode="auto">
        <a:xfrm>
          <a:off x="8272732" y="3752491"/>
          <a:ext cx="595223" cy="586596"/>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8626</xdr:colOff>
          <xdr:row>10</xdr:row>
          <xdr:rowOff>8626</xdr:rowOff>
        </xdr:from>
        <xdr:to>
          <xdr:col>3</xdr:col>
          <xdr:colOff>8626</xdr:colOff>
          <xdr:row>10</xdr:row>
          <xdr:rowOff>224287</xdr:rowOff>
        </xdr:to>
        <xdr:sp macro="" textlink="">
          <xdr:nvSpPr>
            <xdr:cNvPr id="65547" name="Drop Down 11" hidden="1">
              <a:extLst>
                <a:ext uri="{63B3BB69-23CF-44E3-9099-C40C66FF867C}">
                  <a14:compatExt spid="_x0000_s65547"/>
                </a:ext>
              </a:extLst>
            </xdr:cNvPr>
            <xdr:cNvSpPr/>
          </xdr:nvSpPr>
          <xdr:spPr>
            <a:xfrm>
              <a:off x="0" y="0"/>
              <a:ext cx="0" cy="0"/>
            </a:xfrm>
            <a:prstGeom prst="rect">
              <a:avLst/>
            </a:prstGeom>
          </xdr:spPr>
        </xdr:sp>
        <xdr:clientData/>
      </xdr:twoCellAnchor>
    </mc:Choice>
    <mc:Fallback/>
  </mc:AlternateContent>
  <xdr:twoCellAnchor editAs="oneCell">
    <xdr:from>
      <xdr:col>3</xdr:col>
      <xdr:colOff>1069675</xdr:colOff>
      <xdr:row>0</xdr:row>
      <xdr:rowOff>0</xdr:rowOff>
    </xdr:from>
    <xdr:to>
      <xdr:col>9</xdr:col>
      <xdr:colOff>94891</xdr:colOff>
      <xdr:row>11</xdr:row>
      <xdr:rowOff>483079</xdr:rowOff>
    </xdr:to>
    <xdr:pic>
      <xdr:nvPicPr>
        <xdr:cNvPr id="65551" name="Picture 15" descr="ruptur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7275" y="0"/>
          <a:ext cx="3295291" cy="2976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60385</xdr:colOff>
          <xdr:row>3</xdr:row>
          <xdr:rowOff>17253</xdr:rowOff>
        </xdr:from>
        <xdr:to>
          <xdr:col>5</xdr:col>
          <xdr:colOff>224287</xdr:colOff>
          <xdr:row>5</xdr:row>
          <xdr:rowOff>138023</xdr:rowOff>
        </xdr:to>
        <xdr:sp macro="" textlink="">
          <xdr:nvSpPr>
            <xdr:cNvPr id="41985" name="Object 1" hidden="1">
              <a:extLst>
                <a:ext uri="{63B3BB69-23CF-44E3-9099-C40C66FF867C}">
                  <a14:compatExt spid="_x0000_s41985"/>
                </a:ext>
              </a:extLst>
            </xdr:cNvPr>
            <xdr:cNvSpPr/>
          </xdr:nvSpPr>
          <xdr:spPr>
            <a:xfrm>
              <a:off x="0" y="0"/>
              <a:ext cx="0" cy="0"/>
            </a:xfrm>
            <a:prstGeom prst="rect">
              <a:avLst/>
            </a:prstGeom>
          </xdr:spPr>
        </xdr:sp>
        <xdr:clientData/>
      </xdr:twoCellAnchor>
    </mc:Choice>
    <mc:Fallback/>
  </mc:AlternateContent>
  <xdr:twoCellAnchor>
    <xdr:from>
      <xdr:col>3</xdr:col>
      <xdr:colOff>319177</xdr:colOff>
      <xdr:row>14</xdr:row>
      <xdr:rowOff>120770</xdr:rowOff>
    </xdr:from>
    <xdr:to>
      <xdr:col>3</xdr:col>
      <xdr:colOff>474453</xdr:colOff>
      <xdr:row>14</xdr:row>
      <xdr:rowOff>129396</xdr:rowOff>
    </xdr:to>
    <xdr:sp macro="" textlink="">
      <xdr:nvSpPr>
        <xdr:cNvPr id="41986" name="Line 2"/>
        <xdr:cNvSpPr>
          <a:spLocks noChangeShapeType="1"/>
        </xdr:cNvSpPr>
      </xdr:nvSpPr>
      <xdr:spPr bwMode="auto">
        <a:xfrm flipV="1">
          <a:off x="3786996" y="3062377"/>
          <a:ext cx="155276" cy="86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146649</xdr:colOff>
      <xdr:row>10</xdr:row>
      <xdr:rowOff>17253</xdr:rowOff>
    </xdr:from>
    <xdr:to>
      <xdr:col>3</xdr:col>
      <xdr:colOff>258792</xdr:colOff>
      <xdr:row>19</xdr:row>
      <xdr:rowOff>0</xdr:rowOff>
    </xdr:to>
    <xdr:sp macro="" textlink="">
      <xdr:nvSpPr>
        <xdr:cNvPr id="41987" name="AutoShape 3"/>
        <xdr:cNvSpPr>
          <a:spLocks/>
        </xdr:cNvSpPr>
      </xdr:nvSpPr>
      <xdr:spPr bwMode="auto">
        <a:xfrm>
          <a:off x="3614468" y="2096219"/>
          <a:ext cx="112143" cy="1854679"/>
        </a:xfrm>
        <a:prstGeom prst="rightBrace">
          <a:avLst>
            <a:gd name="adj1" fmla="val 137821"/>
            <a:gd name="adj2" fmla="val 50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129396</xdr:colOff>
      <xdr:row>1</xdr:row>
      <xdr:rowOff>86264</xdr:rowOff>
    </xdr:from>
    <xdr:to>
      <xdr:col>4</xdr:col>
      <xdr:colOff>724619</xdr:colOff>
      <xdr:row>2</xdr:row>
      <xdr:rowOff>172528</xdr:rowOff>
    </xdr:to>
    <xdr:sp macro="" textlink="">
      <xdr:nvSpPr>
        <xdr:cNvPr id="41988" name="WordArt 4"/>
        <xdr:cNvSpPr>
          <a:spLocks noChangeArrowheads="1" noChangeShapeType="1" noTextEdit="1"/>
        </xdr:cNvSpPr>
      </xdr:nvSpPr>
      <xdr:spPr bwMode="auto">
        <a:xfrm>
          <a:off x="4261449" y="327804"/>
          <a:ext cx="595223" cy="284671"/>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8</xdr:col>
      <xdr:colOff>267419</xdr:colOff>
      <xdr:row>16</xdr:row>
      <xdr:rowOff>17253</xdr:rowOff>
    </xdr:from>
    <xdr:to>
      <xdr:col>9</xdr:col>
      <xdr:colOff>293298</xdr:colOff>
      <xdr:row>17</xdr:row>
      <xdr:rowOff>112143</xdr:rowOff>
    </xdr:to>
    <xdr:sp macro="" textlink="">
      <xdr:nvSpPr>
        <xdr:cNvPr id="41989" name="WordArt 5" descr="Papier Kraft"/>
        <xdr:cNvSpPr>
          <a:spLocks noChangeArrowheads="1" noChangeShapeType="1" noTextEdit="1"/>
        </xdr:cNvSpPr>
      </xdr:nvSpPr>
      <xdr:spPr bwMode="auto">
        <a:xfrm>
          <a:off x="7504981" y="3372928"/>
          <a:ext cx="672861" cy="293298"/>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1"/>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xdr:twoCellAnchor>
    <xdr:from>
      <xdr:col>4</xdr:col>
      <xdr:colOff>491706</xdr:colOff>
      <xdr:row>14</xdr:row>
      <xdr:rowOff>103517</xdr:rowOff>
    </xdr:from>
    <xdr:to>
      <xdr:col>4</xdr:col>
      <xdr:colOff>577970</xdr:colOff>
      <xdr:row>15</xdr:row>
      <xdr:rowOff>138023</xdr:rowOff>
    </xdr:to>
    <xdr:sp macro="" textlink="">
      <xdr:nvSpPr>
        <xdr:cNvPr id="41990" name="Line 6"/>
        <xdr:cNvSpPr>
          <a:spLocks noChangeShapeType="1"/>
        </xdr:cNvSpPr>
      </xdr:nvSpPr>
      <xdr:spPr bwMode="auto">
        <a:xfrm>
          <a:off x="4623758" y="3045125"/>
          <a:ext cx="86265" cy="2501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353683</xdr:colOff>
      <xdr:row>14</xdr:row>
      <xdr:rowOff>146649</xdr:rowOff>
    </xdr:from>
    <xdr:to>
      <xdr:col>7</xdr:col>
      <xdr:colOff>414068</xdr:colOff>
      <xdr:row>16</xdr:row>
      <xdr:rowOff>60385</xdr:rowOff>
    </xdr:to>
    <xdr:sp macro="" textlink="">
      <xdr:nvSpPr>
        <xdr:cNvPr id="41991" name="Line 7"/>
        <xdr:cNvSpPr>
          <a:spLocks noChangeShapeType="1"/>
        </xdr:cNvSpPr>
      </xdr:nvSpPr>
      <xdr:spPr bwMode="auto">
        <a:xfrm flipH="1">
          <a:off x="6858000" y="3088257"/>
          <a:ext cx="60385" cy="32780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155275</xdr:colOff>
          <xdr:row>5</xdr:row>
          <xdr:rowOff>181155</xdr:rowOff>
        </xdr:from>
        <xdr:to>
          <xdr:col>5</xdr:col>
          <xdr:colOff>431321</xdr:colOff>
          <xdr:row>8</xdr:row>
          <xdr:rowOff>94891</xdr:rowOff>
        </xdr:to>
        <xdr:sp macro="" textlink="">
          <xdr:nvSpPr>
            <xdr:cNvPr id="41992" name="Object 8" hidden="1">
              <a:extLst>
                <a:ext uri="{63B3BB69-23CF-44E3-9099-C40C66FF867C}">
                  <a14:compatExt spid="_x0000_s419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1199072</xdr:colOff>
          <xdr:row>24</xdr:row>
          <xdr:rowOff>146649</xdr:rowOff>
        </xdr:from>
        <xdr:to>
          <xdr:col>1</xdr:col>
          <xdr:colOff>388189</xdr:colOff>
          <xdr:row>28</xdr:row>
          <xdr:rowOff>129396</xdr:rowOff>
        </xdr:to>
        <xdr:sp macro="" textlink="">
          <xdr:nvSpPr>
            <xdr:cNvPr id="41995" name="Object 11" hidden="1">
              <a:extLst>
                <a:ext uri="{63B3BB69-23CF-44E3-9099-C40C66FF867C}">
                  <a14:compatExt spid="_x0000_s41995"/>
                </a:ext>
              </a:extLst>
            </xdr:cNvPr>
            <xdr:cNvSpPr/>
          </xdr:nvSpPr>
          <xdr:spPr>
            <a:xfrm>
              <a:off x="0" y="0"/>
              <a:ext cx="0" cy="0"/>
            </a:xfrm>
            <a:prstGeom prst="rect">
              <a:avLst/>
            </a:prstGeom>
          </xdr:spPr>
        </xdr:sp>
        <xdr:clientData/>
      </xdr:twoCellAnchor>
    </mc:Choice>
    <mc:Fallback/>
  </mc:AlternateContent>
  <xdr:twoCellAnchor>
    <xdr:from>
      <xdr:col>1</xdr:col>
      <xdr:colOff>534838</xdr:colOff>
      <xdr:row>24</xdr:row>
      <xdr:rowOff>103517</xdr:rowOff>
    </xdr:from>
    <xdr:to>
      <xdr:col>2</xdr:col>
      <xdr:colOff>603849</xdr:colOff>
      <xdr:row>26</xdr:row>
      <xdr:rowOff>69011</xdr:rowOff>
    </xdr:to>
    <xdr:sp macro="" textlink="">
      <xdr:nvSpPr>
        <xdr:cNvPr id="41996" name="WordArt 12"/>
        <xdr:cNvSpPr>
          <a:spLocks noChangeArrowheads="1" noChangeShapeType="1" noTextEdit="1"/>
        </xdr:cNvSpPr>
      </xdr:nvSpPr>
      <xdr:spPr bwMode="auto">
        <a:xfrm>
          <a:off x="2424023" y="5003321"/>
          <a:ext cx="612475" cy="293298"/>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editAs="oneCell">
    <xdr:from>
      <xdr:col>3</xdr:col>
      <xdr:colOff>543464</xdr:colOff>
      <xdr:row>11</xdr:row>
      <xdr:rowOff>77638</xdr:rowOff>
    </xdr:from>
    <xdr:to>
      <xdr:col>7</xdr:col>
      <xdr:colOff>60385</xdr:colOff>
      <xdr:row>14</xdr:row>
      <xdr:rowOff>103517</xdr:rowOff>
    </xdr:to>
    <xdr:pic>
      <xdr:nvPicPr>
        <xdr:cNvPr id="42007" name="Picture 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1283" y="2372264"/>
          <a:ext cx="2553419" cy="672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138023</xdr:colOff>
      <xdr:row>4</xdr:row>
      <xdr:rowOff>146649</xdr:rowOff>
    </xdr:from>
    <xdr:to>
      <xdr:col>3</xdr:col>
      <xdr:colOff>1061049</xdr:colOff>
      <xdr:row>6</xdr:row>
      <xdr:rowOff>8626</xdr:rowOff>
    </xdr:to>
    <xdr:sp macro="" textlink="">
      <xdr:nvSpPr>
        <xdr:cNvPr id="42011" name="Line 27"/>
        <xdr:cNvSpPr>
          <a:spLocks noChangeShapeType="1"/>
        </xdr:cNvSpPr>
      </xdr:nvSpPr>
      <xdr:spPr bwMode="auto">
        <a:xfrm flipV="1">
          <a:off x="3605842" y="983411"/>
          <a:ext cx="526211" cy="241540"/>
        </a:xfrm>
        <a:prstGeom prst="line">
          <a:avLst/>
        </a:prstGeom>
        <a:noFill/>
        <a:ln w="9525">
          <a:solidFill>
            <a:srgbClr val="000000"/>
          </a:solidFill>
          <a:round/>
          <a:headEnd/>
          <a:tailEnd type="triangle" w="med" len="me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twoCellAnchor>
    <xdr:from>
      <xdr:col>3</xdr:col>
      <xdr:colOff>129396</xdr:colOff>
      <xdr:row>7</xdr:row>
      <xdr:rowOff>86264</xdr:rowOff>
    </xdr:from>
    <xdr:to>
      <xdr:col>4</xdr:col>
      <xdr:colOff>120770</xdr:colOff>
      <xdr:row>8</xdr:row>
      <xdr:rowOff>34506</xdr:rowOff>
    </xdr:to>
    <xdr:sp macro="" textlink="">
      <xdr:nvSpPr>
        <xdr:cNvPr id="42012" name="Line 28"/>
        <xdr:cNvSpPr>
          <a:spLocks noChangeShapeType="1"/>
        </xdr:cNvSpPr>
      </xdr:nvSpPr>
      <xdr:spPr bwMode="auto">
        <a:xfrm flipV="1">
          <a:off x="3597215" y="1475117"/>
          <a:ext cx="655608" cy="172528"/>
        </a:xfrm>
        <a:prstGeom prst="line">
          <a:avLst/>
        </a:prstGeom>
        <a:noFill/>
        <a:ln w="9525">
          <a:solidFill>
            <a:srgbClr val="000000"/>
          </a:solidFill>
          <a:round/>
          <a:headEnd/>
          <a:tailEnd type="triangle" w="med" len="me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twoCellAnchor>
    <xdr:from>
      <xdr:col>5</xdr:col>
      <xdr:colOff>181155</xdr:colOff>
      <xdr:row>0</xdr:row>
      <xdr:rowOff>34506</xdr:rowOff>
    </xdr:from>
    <xdr:to>
      <xdr:col>11</xdr:col>
      <xdr:colOff>207034</xdr:colOff>
      <xdr:row>2</xdr:row>
      <xdr:rowOff>25879</xdr:rowOff>
    </xdr:to>
    <xdr:sp macro="" textlink="">
      <xdr:nvSpPr>
        <xdr:cNvPr id="42013" name="Text Box 29"/>
        <xdr:cNvSpPr txBox="1">
          <a:spLocks noChangeArrowheads="1"/>
        </xdr:cNvSpPr>
      </xdr:nvSpPr>
      <xdr:spPr bwMode="auto">
        <a:xfrm>
          <a:off x="5072332" y="34506"/>
          <a:ext cx="3942272" cy="431320"/>
        </a:xfrm>
        <a:prstGeom prst="rect">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0" bIns="0" anchor="t" upright="1"/>
        <a:lstStyle/>
        <a:p>
          <a:pPr algn="l" rtl="0">
            <a:defRPr sz="1000"/>
          </a:pPr>
          <a:r>
            <a:rPr lang="fr-FR" sz="1100" b="1" i="0" u="none" strike="noStrike" baseline="0">
              <a:solidFill>
                <a:srgbClr val="000000"/>
              </a:solidFill>
              <a:latin typeface="Arial"/>
              <a:cs typeface="Arial"/>
            </a:rPr>
            <a:t>- PANNE DROITE FLECHIE ET COMPRIMEE</a:t>
          </a:r>
        </a:p>
        <a:p>
          <a:pPr algn="l" rtl="0">
            <a:defRPr sz="1000"/>
          </a:pPr>
          <a:r>
            <a:rPr lang="fr-FR" sz="1100" b="1" i="0" u="none" strike="noStrike" baseline="0">
              <a:solidFill>
                <a:srgbClr val="000000"/>
              </a:solidFill>
              <a:latin typeface="Arial"/>
              <a:cs typeface="Arial"/>
            </a:rPr>
            <a:t>- ARBALETRIER, ARETIER FLECHIS ET COMPRIMES</a:t>
          </a:r>
          <a:endParaRPr lang="fr-FR"/>
        </a:p>
      </xdr:txBody>
    </xdr:sp>
    <xdr:clientData/>
  </xdr:twoCellAnchor>
  <mc:AlternateContent xmlns:mc="http://schemas.openxmlformats.org/markup-compatibility/2006">
    <mc:Choice xmlns:a14="http://schemas.microsoft.com/office/drawing/2010/main" Requires="a14">
      <xdr:twoCellAnchor>
        <xdr:from>
          <xdr:col>7</xdr:col>
          <xdr:colOff>517585</xdr:colOff>
          <xdr:row>11</xdr:row>
          <xdr:rowOff>17253</xdr:rowOff>
        </xdr:from>
        <xdr:to>
          <xdr:col>12</xdr:col>
          <xdr:colOff>129396</xdr:colOff>
          <xdr:row>14</xdr:row>
          <xdr:rowOff>77638</xdr:rowOff>
        </xdr:to>
        <xdr:sp macro="" textlink="">
          <xdr:nvSpPr>
            <xdr:cNvPr id="42022" name="Object 38" hidden="1">
              <a:extLst>
                <a:ext uri="{63B3BB69-23CF-44E3-9099-C40C66FF867C}">
                  <a14:compatExt spid="_x0000_s420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336430</xdr:colOff>
          <xdr:row>24</xdr:row>
          <xdr:rowOff>34506</xdr:rowOff>
        </xdr:from>
        <xdr:to>
          <xdr:col>10</xdr:col>
          <xdr:colOff>8626</xdr:colOff>
          <xdr:row>29</xdr:row>
          <xdr:rowOff>25879</xdr:rowOff>
        </xdr:to>
        <xdr:sp macro="" textlink="">
          <xdr:nvSpPr>
            <xdr:cNvPr id="42024" name="Object 40" hidden="1">
              <a:extLst>
                <a:ext uri="{63B3BB69-23CF-44E3-9099-C40C66FF867C}">
                  <a14:compatExt spid="_x0000_s42024"/>
                </a:ext>
              </a:extLst>
            </xdr:cNvPr>
            <xdr:cNvSpPr/>
          </xdr:nvSpPr>
          <xdr:spPr>
            <a:xfrm>
              <a:off x="0" y="0"/>
              <a:ext cx="0" cy="0"/>
            </a:xfrm>
            <a:prstGeom prst="rect">
              <a:avLst/>
            </a:prstGeom>
          </xdr:spPr>
        </xdr:sp>
        <xdr:clientData/>
      </xdr:twoCellAnchor>
    </mc:Choice>
    <mc:Fallback/>
  </mc:AlternateContent>
  <xdr:twoCellAnchor>
    <xdr:from>
      <xdr:col>6</xdr:col>
      <xdr:colOff>69011</xdr:colOff>
      <xdr:row>26</xdr:row>
      <xdr:rowOff>77638</xdr:rowOff>
    </xdr:from>
    <xdr:to>
      <xdr:col>6</xdr:col>
      <xdr:colOff>319177</xdr:colOff>
      <xdr:row>26</xdr:row>
      <xdr:rowOff>129396</xdr:rowOff>
    </xdr:to>
    <xdr:sp macro="" textlink="">
      <xdr:nvSpPr>
        <xdr:cNvPr id="42025" name="Line 41"/>
        <xdr:cNvSpPr>
          <a:spLocks noChangeShapeType="1"/>
        </xdr:cNvSpPr>
      </xdr:nvSpPr>
      <xdr:spPr bwMode="auto">
        <a:xfrm flipH="1">
          <a:off x="5727940" y="5305245"/>
          <a:ext cx="250166" cy="5175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491706</xdr:colOff>
      <xdr:row>8</xdr:row>
      <xdr:rowOff>198408</xdr:rowOff>
    </xdr:from>
    <xdr:to>
      <xdr:col>3</xdr:col>
      <xdr:colOff>621102</xdr:colOff>
      <xdr:row>9</xdr:row>
      <xdr:rowOff>250166</xdr:rowOff>
    </xdr:to>
    <xdr:sp macro="" textlink="">
      <xdr:nvSpPr>
        <xdr:cNvPr id="42026" name="WordArt 42"/>
        <xdr:cNvSpPr>
          <a:spLocks noChangeArrowheads="1" noChangeShapeType="1" noTextEdit="1"/>
        </xdr:cNvSpPr>
      </xdr:nvSpPr>
      <xdr:spPr bwMode="auto">
        <a:xfrm>
          <a:off x="3959525" y="1811547"/>
          <a:ext cx="129396" cy="267419"/>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fr-FR" sz="3600" kern="10" spc="0">
              <a:ln w="9525">
                <a:solidFill>
                  <a:srgbClr val="000000"/>
                </a:solidFill>
                <a:round/>
                <a:headEnd/>
                <a:tailEnd/>
              </a:ln>
              <a:solidFill>
                <a:srgbClr xmlns:mc="http://schemas.openxmlformats.org/markup-compatibility/2006" xmlns:a14="http://schemas.microsoft.com/office/drawing/2010/main" val="0000FF" mc:Ignorable="a14" a14:legacySpreadsheetColorIndex="39"/>
              </a:solidFill>
              <a:effectLst/>
              <a:latin typeface="Arial Black"/>
            </a:rPr>
            <a:t>1</a:t>
          </a:r>
        </a:p>
      </xdr:txBody>
    </xdr:sp>
    <xdr:clientData/>
  </xdr:twoCellAnchor>
  <xdr:twoCellAnchor>
    <xdr:from>
      <xdr:col>3</xdr:col>
      <xdr:colOff>483079</xdr:colOff>
      <xdr:row>22</xdr:row>
      <xdr:rowOff>94891</xdr:rowOff>
    </xdr:from>
    <xdr:to>
      <xdr:col>3</xdr:col>
      <xdr:colOff>612475</xdr:colOff>
      <xdr:row>24</xdr:row>
      <xdr:rowOff>0</xdr:rowOff>
    </xdr:to>
    <xdr:sp macro="" textlink="">
      <xdr:nvSpPr>
        <xdr:cNvPr id="42027" name="WordArt 43"/>
        <xdr:cNvSpPr>
          <a:spLocks noChangeArrowheads="1" noChangeShapeType="1" noTextEdit="1"/>
        </xdr:cNvSpPr>
      </xdr:nvSpPr>
      <xdr:spPr bwMode="auto">
        <a:xfrm>
          <a:off x="3950898" y="4641011"/>
          <a:ext cx="129396" cy="258793"/>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fr-FR" sz="3600" kern="10" spc="0">
              <a:ln w="9525">
                <a:solidFill>
                  <a:srgbClr val="000000"/>
                </a:solidFill>
                <a:round/>
                <a:headEnd/>
                <a:tailEnd/>
              </a:ln>
              <a:solidFill>
                <a:srgbClr xmlns:mc="http://schemas.openxmlformats.org/markup-compatibility/2006" xmlns:a14="http://schemas.microsoft.com/office/drawing/2010/main" val="0000FF" mc:Ignorable="a14" a14:legacySpreadsheetColorIndex="39"/>
              </a:solidFill>
              <a:effectLst/>
              <a:latin typeface="Arial Black"/>
            </a:rPr>
            <a:t>2</a:t>
          </a:r>
        </a:p>
      </xdr:txBody>
    </xdr:sp>
    <xdr:clientData/>
  </xdr:twoCellAnchor>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603849</xdr:colOff>
          <xdr:row>2</xdr:row>
          <xdr:rowOff>25879</xdr:rowOff>
        </xdr:from>
        <xdr:to>
          <xdr:col>6</xdr:col>
          <xdr:colOff>207034</xdr:colOff>
          <xdr:row>5</xdr:row>
          <xdr:rowOff>25879</xdr:rowOff>
        </xdr:to>
        <xdr:sp macro="" textlink="">
          <xdr:nvSpPr>
            <xdr:cNvPr id="73729" name="Object 1" hidden="1">
              <a:extLst>
                <a:ext uri="{63B3BB69-23CF-44E3-9099-C40C66FF867C}">
                  <a14:compatExt spid="_x0000_s73729"/>
                </a:ext>
              </a:extLst>
            </xdr:cNvPr>
            <xdr:cNvSpPr/>
          </xdr:nvSpPr>
          <xdr:spPr>
            <a:xfrm>
              <a:off x="0" y="0"/>
              <a:ext cx="0" cy="0"/>
            </a:xfrm>
            <a:prstGeom prst="rect">
              <a:avLst/>
            </a:prstGeom>
          </xdr:spPr>
        </xdr:sp>
        <xdr:clientData/>
      </xdr:twoCellAnchor>
    </mc:Choice>
    <mc:Fallback/>
  </mc:AlternateContent>
  <xdr:twoCellAnchor>
    <xdr:from>
      <xdr:col>3</xdr:col>
      <xdr:colOff>94891</xdr:colOff>
      <xdr:row>6</xdr:row>
      <xdr:rowOff>0</xdr:rowOff>
    </xdr:from>
    <xdr:to>
      <xdr:col>4</xdr:col>
      <xdr:colOff>414068</xdr:colOff>
      <xdr:row>13</xdr:row>
      <xdr:rowOff>94891</xdr:rowOff>
    </xdr:to>
    <xdr:sp macro="" textlink="">
      <xdr:nvSpPr>
        <xdr:cNvPr id="73730" name="Line 2"/>
        <xdr:cNvSpPr>
          <a:spLocks noChangeShapeType="1"/>
        </xdr:cNvSpPr>
      </xdr:nvSpPr>
      <xdr:spPr bwMode="auto">
        <a:xfrm>
          <a:off x="3122762" y="1276709"/>
          <a:ext cx="1078302" cy="15096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345057</xdr:colOff>
      <xdr:row>15</xdr:row>
      <xdr:rowOff>8626</xdr:rowOff>
    </xdr:from>
    <xdr:to>
      <xdr:col>4</xdr:col>
      <xdr:colOff>293298</xdr:colOff>
      <xdr:row>15</xdr:row>
      <xdr:rowOff>8626</xdr:rowOff>
    </xdr:to>
    <xdr:sp macro="" textlink="">
      <xdr:nvSpPr>
        <xdr:cNvPr id="73731" name="Line 3"/>
        <xdr:cNvSpPr>
          <a:spLocks noChangeShapeType="1"/>
        </xdr:cNvSpPr>
      </xdr:nvSpPr>
      <xdr:spPr bwMode="auto">
        <a:xfrm flipV="1">
          <a:off x="3372928" y="3209026"/>
          <a:ext cx="70736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172528</xdr:colOff>
      <xdr:row>14</xdr:row>
      <xdr:rowOff>25879</xdr:rowOff>
    </xdr:from>
    <xdr:to>
      <xdr:col>3</xdr:col>
      <xdr:colOff>250166</xdr:colOff>
      <xdr:row>16</xdr:row>
      <xdr:rowOff>0</xdr:rowOff>
    </xdr:to>
    <xdr:sp macro="" textlink="">
      <xdr:nvSpPr>
        <xdr:cNvPr id="73732" name="AutoShape 4"/>
        <xdr:cNvSpPr>
          <a:spLocks/>
        </xdr:cNvSpPr>
      </xdr:nvSpPr>
      <xdr:spPr bwMode="auto">
        <a:xfrm>
          <a:off x="3200400" y="2958860"/>
          <a:ext cx="77638" cy="448574"/>
        </a:xfrm>
        <a:prstGeom prst="rightBrace">
          <a:avLst>
            <a:gd name="adj1" fmla="val 481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301925</xdr:colOff>
      <xdr:row>3</xdr:row>
      <xdr:rowOff>51758</xdr:rowOff>
    </xdr:from>
    <xdr:to>
      <xdr:col>7</xdr:col>
      <xdr:colOff>129396</xdr:colOff>
      <xdr:row>5</xdr:row>
      <xdr:rowOff>241540</xdr:rowOff>
    </xdr:to>
    <xdr:sp macro="" textlink="">
      <xdr:nvSpPr>
        <xdr:cNvPr id="73733" name="WordArt 5"/>
        <xdr:cNvSpPr>
          <a:spLocks noChangeArrowheads="1" noChangeShapeType="1" noTextEdit="1"/>
        </xdr:cNvSpPr>
      </xdr:nvSpPr>
      <xdr:spPr bwMode="auto">
        <a:xfrm>
          <a:off x="5607170" y="698740"/>
          <a:ext cx="586596" cy="552090"/>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6</xdr:col>
      <xdr:colOff>621102</xdr:colOff>
      <xdr:row>18</xdr:row>
      <xdr:rowOff>94891</xdr:rowOff>
    </xdr:from>
    <xdr:to>
      <xdr:col>7</xdr:col>
      <xdr:colOff>448574</xdr:colOff>
      <xdr:row>20</xdr:row>
      <xdr:rowOff>155275</xdr:rowOff>
    </xdr:to>
    <xdr:sp macro="" textlink="">
      <xdr:nvSpPr>
        <xdr:cNvPr id="73734" name="WordArt 6"/>
        <xdr:cNvSpPr>
          <a:spLocks noChangeArrowheads="1" noChangeShapeType="1" noTextEdit="1"/>
        </xdr:cNvSpPr>
      </xdr:nvSpPr>
      <xdr:spPr bwMode="auto">
        <a:xfrm>
          <a:off x="5926347" y="3838755"/>
          <a:ext cx="586596" cy="396815"/>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10</xdr:col>
      <xdr:colOff>414068</xdr:colOff>
      <xdr:row>19</xdr:row>
      <xdr:rowOff>25879</xdr:rowOff>
    </xdr:from>
    <xdr:to>
      <xdr:col>11</xdr:col>
      <xdr:colOff>474453</xdr:colOff>
      <xdr:row>20</xdr:row>
      <xdr:rowOff>94891</xdr:rowOff>
    </xdr:to>
    <xdr:sp macro="" textlink="">
      <xdr:nvSpPr>
        <xdr:cNvPr id="73735" name="WordArt 7" descr="Papier Kraft"/>
        <xdr:cNvSpPr>
          <a:spLocks noChangeArrowheads="1" noChangeShapeType="1" noTextEdit="1"/>
        </xdr:cNvSpPr>
      </xdr:nvSpPr>
      <xdr:spPr bwMode="auto">
        <a:xfrm>
          <a:off x="8315864" y="3942272"/>
          <a:ext cx="819510" cy="232913"/>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1"/>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mc:AlternateContent xmlns:mc="http://schemas.openxmlformats.org/markup-compatibility/2006">
    <mc:Choice xmlns:a14="http://schemas.microsoft.com/office/drawing/2010/main" Requires="a14">
      <xdr:twoCellAnchor>
        <xdr:from>
          <xdr:col>4</xdr:col>
          <xdr:colOff>508958</xdr:colOff>
          <xdr:row>13</xdr:row>
          <xdr:rowOff>0</xdr:rowOff>
        </xdr:from>
        <xdr:to>
          <xdr:col>7</xdr:col>
          <xdr:colOff>215660</xdr:colOff>
          <xdr:row>16</xdr:row>
          <xdr:rowOff>94891</xdr:rowOff>
        </xdr:to>
        <xdr:sp macro="" textlink="">
          <xdr:nvSpPr>
            <xdr:cNvPr id="73736" name="Object 8" hidden="1">
              <a:extLst>
                <a:ext uri="{63B3BB69-23CF-44E3-9099-C40C66FF867C}">
                  <a14:compatExt spid="_x0000_s737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439947</xdr:colOff>
          <xdr:row>19</xdr:row>
          <xdr:rowOff>112143</xdr:rowOff>
        </xdr:from>
        <xdr:to>
          <xdr:col>6</xdr:col>
          <xdr:colOff>526211</xdr:colOff>
          <xdr:row>23</xdr:row>
          <xdr:rowOff>103517</xdr:rowOff>
        </xdr:to>
        <xdr:sp macro="" textlink="">
          <xdr:nvSpPr>
            <xdr:cNvPr id="73737" name="Object 9" hidden="1">
              <a:extLst>
                <a:ext uri="{63B3BB69-23CF-44E3-9099-C40C66FF867C}">
                  <a14:compatExt spid="_x0000_s73737"/>
                </a:ext>
              </a:extLst>
            </xdr:cNvPr>
            <xdr:cNvSpPr/>
          </xdr:nvSpPr>
          <xdr:spPr>
            <a:xfrm>
              <a:off x="0" y="0"/>
              <a:ext cx="0" cy="0"/>
            </a:xfrm>
            <a:prstGeom prst="rect">
              <a:avLst/>
            </a:prstGeom>
          </xdr:spPr>
        </xdr:sp>
        <xdr:clientData/>
      </xdr:twoCellAnchor>
    </mc:Choice>
    <mc:Fallback/>
  </mc:AlternateContent>
  <xdr:twoCellAnchor>
    <xdr:from>
      <xdr:col>8</xdr:col>
      <xdr:colOff>129396</xdr:colOff>
      <xdr:row>15</xdr:row>
      <xdr:rowOff>8626</xdr:rowOff>
    </xdr:from>
    <xdr:to>
      <xdr:col>8</xdr:col>
      <xdr:colOff>750498</xdr:colOff>
      <xdr:row>15</xdr:row>
      <xdr:rowOff>8626</xdr:rowOff>
    </xdr:to>
    <xdr:sp macro="" textlink="">
      <xdr:nvSpPr>
        <xdr:cNvPr id="73738" name="Line 10"/>
        <xdr:cNvSpPr>
          <a:spLocks noChangeShapeType="1"/>
        </xdr:cNvSpPr>
      </xdr:nvSpPr>
      <xdr:spPr bwMode="auto">
        <a:xfrm>
          <a:off x="6952891" y="3209026"/>
          <a:ext cx="621101"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526211</xdr:colOff>
          <xdr:row>10</xdr:row>
          <xdr:rowOff>60385</xdr:rowOff>
        </xdr:from>
        <xdr:to>
          <xdr:col>7</xdr:col>
          <xdr:colOff>172528</xdr:colOff>
          <xdr:row>12</xdr:row>
          <xdr:rowOff>60385</xdr:rowOff>
        </xdr:to>
        <xdr:sp macro="" textlink="">
          <xdr:nvSpPr>
            <xdr:cNvPr id="73739" name="Object 11" hidden="1">
              <a:extLst>
                <a:ext uri="{63B3BB69-23CF-44E3-9099-C40C66FF867C}">
                  <a14:compatExt spid="_x0000_s73739"/>
                </a:ext>
              </a:extLst>
            </xdr:cNvPr>
            <xdr:cNvSpPr/>
          </xdr:nvSpPr>
          <xdr:spPr>
            <a:xfrm>
              <a:off x="0" y="0"/>
              <a:ext cx="0" cy="0"/>
            </a:xfrm>
            <a:prstGeom prst="rect">
              <a:avLst/>
            </a:prstGeom>
          </xdr:spPr>
        </xdr:sp>
        <xdr:clientData/>
      </xdr:twoCellAnchor>
    </mc:Choice>
    <mc:Fallback/>
  </mc:AlternateContent>
</xdr:wsDr>
</file>

<file path=xl/drawings/drawing48.xml><?xml version="1.0" encoding="utf-8"?>
<xdr:wsDr xmlns:xdr="http://schemas.openxmlformats.org/drawingml/2006/spreadsheetDrawing" xmlns:a="http://schemas.openxmlformats.org/drawingml/2006/main">
  <xdr:twoCellAnchor>
    <xdr:from>
      <xdr:col>4</xdr:col>
      <xdr:colOff>879894</xdr:colOff>
      <xdr:row>19</xdr:row>
      <xdr:rowOff>146649</xdr:rowOff>
    </xdr:from>
    <xdr:to>
      <xdr:col>8</xdr:col>
      <xdr:colOff>414068</xdr:colOff>
      <xdr:row>22</xdr:row>
      <xdr:rowOff>146649</xdr:rowOff>
    </xdr:to>
    <xdr:sp macro="" textlink="">
      <xdr:nvSpPr>
        <xdr:cNvPr id="24577" name="Text Box 1"/>
        <xdr:cNvSpPr txBox="1">
          <a:spLocks noChangeArrowheads="1"/>
        </xdr:cNvSpPr>
      </xdr:nvSpPr>
      <xdr:spPr bwMode="auto">
        <a:xfrm>
          <a:off x="5702060" y="3683479"/>
          <a:ext cx="3286665" cy="543464"/>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fr-FR" sz="1000" b="0" i="0" u="none" strike="noStrike" baseline="0">
              <a:solidFill>
                <a:srgbClr val="000000"/>
              </a:solidFill>
              <a:latin typeface="Arial"/>
              <a:cs typeface="Arial"/>
            </a:rPr>
            <a:t>Feuille utilisable également pour les déformations des planchers (vibrations) ELS calcul de EI équivalent.</a:t>
          </a:r>
        </a:p>
        <a:p>
          <a:pPr algn="ctr" rtl="0">
            <a:defRPr sz="1000"/>
          </a:pPr>
          <a:r>
            <a:rPr lang="fr-FR" sz="1000" b="0" i="0" u="none" strike="noStrike" baseline="0">
              <a:solidFill>
                <a:srgbClr val="000000"/>
              </a:solidFill>
              <a:latin typeface="Arial"/>
              <a:cs typeface="Arial"/>
            </a:rPr>
            <a:t>On prendra Kser et non pas Ku (Ku = 2/3 Kser)</a:t>
          </a:r>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336430</xdr:colOff>
      <xdr:row>58</xdr:row>
      <xdr:rowOff>0</xdr:rowOff>
    </xdr:from>
    <xdr:to>
      <xdr:col>1</xdr:col>
      <xdr:colOff>802257</xdr:colOff>
      <xdr:row>58</xdr:row>
      <xdr:rowOff>0</xdr:rowOff>
    </xdr:to>
    <xdr:pic>
      <xdr:nvPicPr>
        <xdr:cNvPr id="7168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430" y="11455879"/>
          <a:ext cx="2717321"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17253</xdr:colOff>
      <xdr:row>58</xdr:row>
      <xdr:rowOff>0</xdr:rowOff>
    </xdr:from>
    <xdr:to>
      <xdr:col>21</xdr:col>
      <xdr:colOff>0</xdr:colOff>
      <xdr:row>58</xdr:row>
      <xdr:rowOff>0</xdr:rowOff>
    </xdr:to>
    <xdr:pic>
      <xdr:nvPicPr>
        <xdr:cNvPr id="7168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35177" y="11455879"/>
          <a:ext cx="312276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77638</xdr:colOff>
      <xdr:row>58</xdr:row>
      <xdr:rowOff>0</xdr:rowOff>
    </xdr:from>
    <xdr:to>
      <xdr:col>20</xdr:col>
      <xdr:colOff>707366</xdr:colOff>
      <xdr:row>58</xdr:row>
      <xdr:rowOff>0</xdr:rowOff>
    </xdr:to>
    <xdr:pic>
      <xdr:nvPicPr>
        <xdr:cNvPr id="71683"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95562" y="11455879"/>
          <a:ext cx="29847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655608</xdr:colOff>
      <xdr:row>58</xdr:row>
      <xdr:rowOff>0</xdr:rowOff>
    </xdr:from>
    <xdr:to>
      <xdr:col>19</xdr:col>
      <xdr:colOff>776377</xdr:colOff>
      <xdr:row>58</xdr:row>
      <xdr:rowOff>0</xdr:rowOff>
    </xdr:to>
    <xdr:pic>
      <xdr:nvPicPr>
        <xdr:cNvPr id="71684"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673532" y="11455879"/>
          <a:ext cx="169077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60385</xdr:colOff>
      <xdr:row>58</xdr:row>
      <xdr:rowOff>0</xdr:rowOff>
    </xdr:from>
    <xdr:to>
      <xdr:col>19</xdr:col>
      <xdr:colOff>724619</xdr:colOff>
      <xdr:row>58</xdr:row>
      <xdr:rowOff>0</xdr:rowOff>
    </xdr:to>
    <xdr:pic>
      <xdr:nvPicPr>
        <xdr:cNvPr id="71685"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078309" y="11455879"/>
          <a:ext cx="223424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879894</xdr:colOff>
      <xdr:row>88</xdr:row>
      <xdr:rowOff>0</xdr:rowOff>
    </xdr:from>
    <xdr:to>
      <xdr:col>0</xdr:col>
      <xdr:colOff>897147</xdr:colOff>
      <xdr:row>88</xdr:row>
      <xdr:rowOff>0</xdr:rowOff>
    </xdr:to>
    <xdr:sp macro="" textlink="">
      <xdr:nvSpPr>
        <xdr:cNvPr id="71955" name="Rectangle 275"/>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953" name="Rectangle 273"/>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952" name="Rectangle 272"/>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951" name="Rectangle 271"/>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950" name="Rectangle 270"/>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949" name="Rectangle 269"/>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948" name="Rectangle 268"/>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946" name="Rectangle 266"/>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945" name="Rectangle 265"/>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944" name="Rectangle 264"/>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943" name="Rectangle 263"/>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942" name="Rectangle 262"/>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941" name="Rectangle 261"/>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936" name="Rectangle 256"/>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934" name="Rectangle 254"/>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933" name="Rectangle 253"/>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940" name="Rectangle 260"/>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939" name="Rectangle 259"/>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932" name="Rectangle 252"/>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931" name="Rectangle 251"/>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930" name="Rectangle 250"/>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928" name="Rectangle 248"/>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927" name="Rectangle 247"/>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938" name="Rectangle 258"/>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937" name="Rectangle 257"/>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926" name="Rectangle 246"/>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925" name="Rectangle 245"/>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924" name="Rectangle 244"/>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922" name="Rectangle 242"/>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921" name="Rectangle 241"/>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920" name="Rectangle 240"/>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919" name="Rectangle 239"/>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918" name="Rectangle 238"/>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917" name="Rectangle 237"/>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916" name="Rectangle 236"/>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914" name="Rectangle 234"/>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913" name="Rectangle 233"/>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912" name="Rectangle 232"/>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911" name="Rectangle 231"/>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910" name="Rectangle 230"/>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909" name="Rectangle 229"/>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903" name="Rectangle 223"/>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901" name="Rectangle 221"/>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900" name="Rectangle 220"/>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908" name="Rectangle 228"/>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907" name="Rectangle 227"/>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906" name="Rectangle 226"/>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899" name="Rectangle 219"/>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898" name="Rectangle 218"/>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896" name="Rectangle 216"/>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895" name="Rectangle 215"/>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905" name="Rectangle 225"/>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904" name="Rectangle 224"/>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894" name="Rectangle 214"/>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893" name="Rectangle 213"/>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892" name="Rectangle 212"/>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890" name="Rectangle 210"/>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889" name="Rectangle 209"/>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888" name="Rectangle 208"/>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887" name="Rectangle 207"/>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886" name="Rectangle 206"/>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885" name="Rectangle 205"/>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880" name="Rectangle 200"/>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878" name="Rectangle 198"/>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877" name="Rectangle 197"/>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884" name="Rectangle 204"/>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883" name="Rectangle 203"/>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876" name="Rectangle 196"/>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875" name="Rectangle 195"/>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874" name="Rectangle 194"/>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872" name="Rectangle 192"/>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871" name="Rectangle 191"/>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882" name="Rectangle 202"/>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881" name="Rectangle 201"/>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870" name="Rectangle 190"/>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869" name="Rectangle 189"/>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868" name="Rectangle 188"/>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866" name="Rectangle 186"/>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865" name="Rectangle 185"/>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864" name="Rectangle 184"/>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863" name="Rectangle 183"/>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862" name="Rectangle 182"/>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861" name="Rectangle 181"/>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860" name="Rectangle 180"/>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858" name="Rectangle 178"/>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857" name="Rectangle 177"/>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856" name="Rectangle 176"/>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855" name="Rectangle 175"/>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854" name="Rectangle 174"/>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853" name="Rectangle 173"/>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852" name="Rectangle 172"/>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850" name="Rectangle 170"/>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849" name="Rectangle 169"/>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848" name="Rectangle 168"/>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847" name="Rectangle 167"/>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846" name="Rectangle 166"/>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845" name="Rectangle 165"/>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844" name="Rectangle 164"/>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842" name="Rectangle 162"/>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841" name="Rectangle 161"/>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840" name="Rectangle 160"/>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839" name="Rectangle 159"/>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838" name="Rectangle 158"/>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837" name="Rectangle 157"/>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836" name="Rectangle 156"/>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834" name="Rectangle 154"/>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833" name="Rectangle 153"/>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832" name="Rectangle 152"/>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831" name="Rectangle 151"/>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830" name="Rectangle 150"/>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829" name="Rectangle 149"/>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828" name="Rectangle 148"/>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826" name="Rectangle 146"/>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825" name="Rectangle 145"/>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824" name="Rectangle 144"/>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823" name="Rectangle 143"/>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822" name="Rectangle 142"/>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821" name="Rectangle 141"/>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817" name="Rectangle 137"/>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815" name="Rectangle 135"/>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814" name="Rectangle 134"/>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820" name="Rectangle 140"/>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819" name="Rectangle 139"/>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818" name="Rectangle 138"/>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813" name="Rectangle 133"/>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812" name="Rectangle 132"/>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810" name="Rectangle 130"/>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809" name="Rectangle 129"/>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808" name="Rectangle 128"/>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807" name="Rectangle 127"/>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806" name="Rectangle 126"/>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805" name="Rectangle 125"/>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799" name="Rectangle 119"/>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797" name="Rectangle 117"/>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796" name="Rectangle 116"/>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804" name="Rectangle 124"/>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803" name="Rectangle 123"/>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802" name="Rectangle 122"/>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795" name="Rectangle 115"/>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794" name="Rectangle 114"/>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792" name="Rectangle 112"/>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791" name="Rectangle 111"/>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801" name="Rectangle 121"/>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800" name="Rectangle 120"/>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790" name="Rectangle 110"/>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789" name="Rectangle 109"/>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788" name="Rectangle 108"/>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786" name="Rectangle 106"/>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785" name="Rectangle 105"/>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784" name="Rectangle 104"/>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783" name="Rectangle 103"/>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782" name="Rectangle 102"/>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781" name="Rectangle 101"/>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780" name="Rectangle 100"/>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778" name="Rectangle 98"/>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777" name="Rectangle 97"/>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776" name="Rectangle 96"/>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775" name="Rectangle 95"/>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774" name="Rectangle 94"/>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773" name="Rectangle 93"/>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772" name="Rectangle 92"/>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770" name="Rectangle 90"/>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769" name="Rectangle 89"/>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768" name="Rectangle 88"/>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767" name="Rectangle 87"/>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766" name="Rectangle 86"/>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765" name="Rectangle 85"/>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761" name="Rectangle 81"/>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759" name="Rectangle 79"/>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758" name="Rectangle 78"/>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764" name="Rectangle 84"/>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763" name="Rectangle 83"/>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762" name="Rectangle 82"/>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757" name="Rectangle 77"/>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756" name="Rectangle 76"/>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754" name="Rectangle 74"/>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753" name="Rectangle 73"/>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752" name="Rectangle 72"/>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751" name="Rectangle 71"/>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750" name="Rectangle 70"/>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749" name="Rectangle 69"/>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748" name="Rectangle 68"/>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746" name="Rectangle 66"/>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745" name="Rectangle 65"/>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744" name="Rectangle 64"/>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743" name="Rectangle 63"/>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742" name="Rectangle 62"/>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741" name="Rectangle 61"/>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740" name="Rectangle 60"/>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738" name="Rectangle 58"/>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737" name="Rectangle 57"/>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736" name="Rectangle 56"/>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735" name="Rectangle 55"/>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734" name="Rectangle 54"/>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733" name="Rectangle 53"/>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732" name="Rectangle 52"/>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730" name="Rectangle 50"/>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729" name="Rectangle 49"/>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728" name="Rectangle 48"/>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727" name="Rectangle 47"/>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726" name="Rectangle 46"/>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725" name="Rectangle 45"/>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724" name="Rectangle 44"/>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722" name="Rectangle 42"/>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721" name="Rectangle 41"/>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720" name="Rectangle 40"/>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719" name="Rectangle 39"/>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718" name="Rectangle 38"/>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717" name="Rectangle 37"/>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716" name="Rectangle 36"/>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836762</xdr:colOff>
      <xdr:row>88</xdr:row>
      <xdr:rowOff>0</xdr:rowOff>
    </xdr:to>
    <xdr:sp macro="" textlink="">
      <xdr:nvSpPr>
        <xdr:cNvPr id="71714" name="Rectangle 34"/>
        <xdr:cNvSpPr>
          <a:spLocks/>
        </xdr:cNvSpPr>
      </xdr:nvSpPr>
      <xdr:spPr bwMode="auto">
        <a:xfrm>
          <a:off x="3079630"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713" name="Rectangle 33"/>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569343</xdr:colOff>
      <xdr:row>88</xdr:row>
      <xdr:rowOff>0</xdr:rowOff>
    </xdr:to>
    <xdr:sp macro="" textlink="">
      <xdr:nvSpPr>
        <xdr:cNvPr id="71712" name="Rectangle 32"/>
        <xdr:cNvSpPr>
          <a:spLocks/>
        </xdr:cNvSpPr>
      </xdr:nvSpPr>
      <xdr:spPr bwMode="auto">
        <a:xfrm>
          <a:off x="2812211" y="17408106"/>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711" name="Rectangle 31"/>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172528</xdr:colOff>
      <xdr:row>88</xdr:row>
      <xdr:rowOff>0</xdr:rowOff>
    </xdr:to>
    <xdr:sp macro="" textlink="">
      <xdr:nvSpPr>
        <xdr:cNvPr id="71710" name="Rectangle 30"/>
        <xdr:cNvSpPr>
          <a:spLocks/>
        </xdr:cNvSpPr>
      </xdr:nvSpPr>
      <xdr:spPr bwMode="auto">
        <a:xfrm>
          <a:off x="5503653" y="17408106"/>
          <a:ext cx="8626"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709" name="Rectangle 29"/>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708" name="Rectangle 28"/>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707" name="Rectangle 27"/>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88</xdr:row>
      <xdr:rowOff>0</xdr:rowOff>
    </xdr:from>
    <xdr:to>
      <xdr:col>1</xdr:col>
      <xdr:colOff>845389</xdr:colOff>
      <xdr:row>88</xdr:row>
      <xdr:rowOff>0</xdr:rowOff>
    </xdr:to>
    <xdr:sp macro="" textlink="">
      <xdr:nvSpPr>
        <xdr:cNvPr id="71705" name="Rectangle 25"/>
        <xdr:cNvSpPr>
          <a:spLocks/>
        </xdr:cNvSpPr>
      </xdr:nvSpPr>
      <xdr:spPr bwMode="auto">
        <a:xfrm>
          <a:off x="3079630"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88</xdr:row>
      <xdr:rowOff>0</xdr:rowOff>
    </xdr:from>
    <xdr:to>
      <xdr:col>0</xdr:col>
      <xdr:colOff>431321</xdr:colOff>
      <xdr:row>88</xdr:row>
      <xdr:rowOff>0</xdr:rowOff>
    </xdr:to>
    <xdr:sp macro="" textlink="">
      <xdr:nvSpPr>
        <xdr:cNvPr id="71704" name="Rectangle 24"/>
        <xdr:cNvSpPr>
          <a:spLocks/>
        </xdr:cNvSpPr>
      </xdr:nvSpPr>
      <xdr:spPr bwMode="auto">
        <a:xfrm>
          <a:off x="414068"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88</xdr:row>
      <xdr:rowOff>0</xdr:rowOff>
    </xdr:from>
    <xdr:to>
      <xdr:col>1</xdr:col>
      <xdr:colOff>577970</xdr:colOff>
      <xdr:row>88</xdr:row>
      <xdr:rowOff>0</xdr:rowOff>
    </xdr:to>
    <xdr:sp macro="" textlink="">
      <xdr:nvSpPr>
        <xdr:cNvPr id="71703" name="Rectangle 23"/>
        <xdr:cNvSpPr>
          <a:spLocks/>
        </xdr:cNvSpPr>
      </xdr:nvSpPr>
      <xdr:spPr bwMode="auto">
        <a:xfrm>
          <a:off x="281221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88</xdr:row>
      <xdr:rowOff>0</xdr:rowOff>
    </xdr:from>
    <xdr:to>
      <xdr:col>0</xdr:col>
      <xdr:colOff>207034</xdr:colOff>
      <xdr:row>88</xdr:row>
      <xdr:rowOff>0</xdr:rowOff>
    </xdr:to>
    <xdr:sp macro="" textlink="">
      <xdr:nvSpPr>
        <xdr:cNvPr id="71702" name="Rectangle 22"/>
        <xdr:cNvSpPr>
          <a:spLocks/>
        </xdr:cNvSpPr>
      </xdr:nvSpPr>
      <xdr:spPr bwMode="auto">
        <a:xfrm>
          <a:off x="189781"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163902</xdr:colOff>
      <xdr:row>88</xdr:row>
      <xdr:rowOff>0</xdr:rowOff>
    </xdr:from>
    <xdr:to>
      <xdr:col>4</xdr:col>
      <xdr:colOff>181155</xdr:colOff>
      <xdr:row>88</xdr:row>
      <xdr:rowOff>0</xdr:rowOff>
    </xdr:to>
    <xdr:sp macro="" textlink="">
      <xdr:nvSpPr>
        <xdr:cNvPr id="71701" name="Rectangle 21"/>
        <xdr:cNvSpPr>
          <a:spLocks/>
        </xdr:cNvSpPr>
      </xdr:nvSpPr>
      <xdr:spPr bwMode="auto">
        <a:xfrm>
          <a:off x="5503653"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700" name="Rectangle 20"/>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86264</xdr:colOff>
      <xdr:row>88</xdr:row>
      <xdr:rowOff>0</xdr:rowOff>
    </xdr:from>
    <xdr:to>
      <xdr:col>5</xdr:col>
      <xdr:colOff>103517</xdr:colOff>
      <xdr:row>88</xdr:row>
      <xdr:rowOff>0</xdr:rowOff>
    </xdr:to>
    <xdr:sp macro="" textlink="">
      <xdr:nvSpPr>
        <xdr:cNvPr id="71699" name="Rectangle 19"/>
        <xdr:cNvSpPr>
          <a:spLocks/>
        </xdr:cNvSpPr>
      </xdr:nvSpPr>
      <xdr:spPr bwMode="auto">
        <a:xfrm>
          <a:off x="6340415"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88</xdr:row>
      <xdr:rowOff>0</xdr:rowOff>
    </xdr:from>
    <xdr:to>
      <xdr:col>0</xdr:col>
      <xdr:colOff>897147</xdr:colOff>
      <xdr:row>88</xdr:row>
      <xdr:rowOff>0</xdr:rowOff>
    </xdr:to>
    <xdr:sp macro="" textlink="">
      <xdr:nvSpPr>
        <xdr:cNvPr id="71956" name="Rectangle 276"/>
        <xdr:cNvSpPr>
          <a:spLocks/>
        </xdr:cNvSpPr>
      </xdr:nvSpPr>
      <xdr:spPr bwMode="auto">
        <a:xfrm>
          <a:off x="879894" y="17408106"/>
          <a:ext cx="17253"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92</xdr:row>
      <xdr:rowOff>146649</xdr:rowOff>
    </xdr:from>
    <xdr:to>
      <xdr:col>0</xdr:col>
      <xdr:colOff>897147</xdr:colOff>
      <xdr:row>92</xdr:row>
      <xdr:rowOff>155275</xdr:rowOff>
    </xdr:to>
    <xdr:sp macro="" textlink="">
      <xdr:nvSpPr>
        <xdr:cNvPr id="71957" name="Rectangle 277"/>
        <xdr:cNvSpPr>
          <a:spLocks/>
        </xdr:cNvSpPr>
      </xdr:nvSpPr>
      <xdr:spPr bwMode="auto">
        <a:xfrm>
          <a:off x="879894" y="18348385"/>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91</xdr:row>
      <xdr:rowOff>146649</xdr:rowOff>
    </xdr:from>
    <xdr:to>
      <xdr:col>1</xdr:col>
      <xdr:colOff>836762</xdr:colOff>
      <xdr:row>91</xdr:row>
      <xdr:rowOff>155275</xdr:rowOff>
    </xdr:to>
    <xdr:sp macro="" textlink="">
      <xdr:nvSpPr>
        <xdr:cNvPr id="71958" name="Rectangle 278"/>
        <xdr:cNvSpPr>
          <a:spLocks/>
        </xdr:cNvSpPr>
      </xdr:nvSpPr>
      <xdr:spPr bwMode="auto">
        <a:xfrm>
          <a:off x="3079630" y="18149977"/>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132</xdr:row>
      <xdr:rowOff>146649</xdr:rowOff>
    </xdr:from>
    <xdr:to>
      <xdr:col>0</xdr:col>
      <xdr:colOff>431321</xdr:colOff>
      <xdr:row>132</xdr:row>
      <xdr:rowOff>155275</xdr:rowOff>
    </xdr:to>
    <xdr:sp macro="" textlink="">
      <xdr:nvSpPr>
        <xdr:cNvPr id="71959" name="Rectangle 279"/>
        <xdr:cNvSpPr>
          <a:spLocks/>
        </xdr:cNvSpPr>
      </xdr:nvSpPr>
      <xdr:spPr bwMode="auto">
        <a:xfrm>
          <a:off x="414068" y="26284687"/>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172</xdr:row>
      <xdr:rowOff>146649</xdr:rowOff>
    </xdr:from>
    <xdr:to>
      <xdr:col>0</xdr:col>
      <xdr:colOff>207034</xdr:colOff>
      <xdr:row>172</xdr:row>
      <xdr:rowOff>155275</xdr:rowOff>
    </xdr:to>
    <xdr:sp macro="" textlink="">
      <xdr:nvSpPr>
        <xdr:cNvPr id="71960" name="Rectangle 280"/>
        <xdr:cNvSpPr>
          <a:spLocks/>
        </xdr:cNvSpPr>
      </xdr:nvSpPr>
      <xdr:spPr bwMode="auto">
        <a:xfrm>
          <a:off x="189781" y="34220989"/>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93</xdr:row>
      <xdr:rowOff>146649</xdr:rowOff>
    </xdr:from>
    <xdr:to>
      <xdr:col>0</xdr:col>
      <xdr:colOff>897147</xdr:colOff>
      <xdr:row>93</xdr:row>
      <xdr:rowOff>155275</xdr:rowOff>
    </xdr:to>
    <xdr:sp macro="" textlink="">
      <xdr:nvSpPr>
        <xdr:cNvPr id="71961" name="Rectangle 281"/>
        <xdr:cNvSpPr>
          <a:spLocks/>
        </xdr:cNvSpPr>
      </xdr:nvSpPr>
      <xdr:spPr bwMode="auto">
        <a:xfrm>
          <a:off x="879894" y="18546792"/>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93</xdr:row>
      <xdr:rowOff>146649</xdr:rowOff>
    </xdr:from>
    <xdr:to>
      <xdr:col>1</xdr:col>
      <xdr:colOff>836762</xdr:colOff>
      <xdr:row>93</xdr:row>
      <xdr:rowOff>155275</xdr:rowOff>
    </xdr:to>
    <xdr:sp macro="" textlink="">
      <xdr:nvSpPr>
        <xdr:cNvPr id="71962" name="Rectangle 282"/>
        <xdr:cNvSpPr>
          <a:spLocks/>
        </xdr:cNvSpPr>
      </xdr:nvSpPr>
      <xdr:spPr bwMode="auto">
        <a:xfrm>
          <a:off x="3079630" y="18546792"/>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133</xdr:row>
      <xdr:rowOff>146649</xdr:rowOff>
    </xdr:from>
    <xdr:to>
      <xdr:col>0</xdr:col>
      <xdr:colOff>431321</xdr:colOff>
      <xdr:row>133</xdr:row>
      <xdr:rowOff>155275</xdr:rowOff>
    </xdr:to>
    <xdr:sp macro="" textlink="">
      <xdr:nvSpPr>
        <xdr:cNvPr id="71963" name="Rectangle 283"/>
        <xdr:cNvSpPr>
          <a:spLocks/>
        </xdr:cNvSpPr>
      </xdr:nvSpPr>
      <xdr:spPr bwMode="auto">
        <a:xfrm>
          <a:off x="414068" y="26483094"/>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133</xdr:row>
      <xdr:rowOff>146649</xdr:rowOff>
    </xdr:from>
    <xdr:to>
      <xdr:col>1</xdr:col>
      <xdr:colOff>569343</xdr:colOff>
      <xdr:row>133</xdr:row>
      <xdr:rowOff>155275</xdr:rowOff>
    </xdr:to>
    <xdr:sp macro="" textlink="">
      <xdr:nvSpPr>
        <xdr:cNvPr id="71964" name="Rectangle 284"/>
        <xdr:cNvSpPr>
          <a:spLocks/>
        </xdr:cNvSpPr>
      </xdr:nvSpPr>
      <xdr:spPr bwMode="auto">
        <a:xfrm>
          <a:off x="2812211" y="26483094"/>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173</xdr:row>
      <xdr:rowOff>146649</xdr:rowOff>
    </xdr:from>
    <xdr:to>
      <xdr:col>0</xdr:col>
      <xdr:colOff>207034</xdr:colOff>
      <xdr:row>173</xdr:row>
      <xdr:rowOff>155275</xdr:rowOff>
    </xdr:to>
    <xdr:sp macro="" textlink="">
      <xdr:nvSpPr>
        <xdr:cNvPr id="71965" name="Rectangle 285"/>
        <xdr:cNvSpPr>
          <a:spLocks/>
        </xdr:cNvSpPr>
      </xdr:nvSpPr>
      <xdr:spPr bwMode="auto">
        <a:xfrm>
          <a:off x="189781" y="34419396"/>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95</xdr:row>
      <xdr:rowOff>146649</xdr:rowOff>
    </xdr:from>
    <xdr:to>
      <xdr:col>0</xdr:col>
      <xdr:colOff>897147</xdr:colOff>
      <xdr:row>95</xdr:row>
      <xdr:rowOff>155275</xdr:rowOff>
    </xdr:to>
    <xdr:sp macro="" textlink="">
      <xdr:nvSpPr>
        <xdr:cNvPr id="71966" name="Rectangle 286"/>
        <xdr:cNvSpPr>
          <a:spLocks/>
        </xdr:cNvSpPr>
      </xdr:nvSpPr>
      <xdr:spPr bwMode="auto">
        <a:xfrm>
          <a:off x="879894" y="18943608"/>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95</xdr:row>
      <xdr:rowOff>146649</xdr:rowOff>
    </xdr:from>
    <xdr:to>
      <xdr:col>1</xdr:col>
      <xdr:colOff>836762</xdr:colOff>
      <xdr:row>95</xdr:row>
      <xdr:rowOff>155275</xdr:rowOff>
    </xdr:to>
    <xdr:sp macro="" textlink="">
      <xdr:nvSpPr>
        <xdr:cNvPr id="71967" name="Rectangle 287"/>
        <xdr:cNvSpPr>
          <a:spLocks/>
        </xdr:cNvSpPr>
      </xdr:nvSpPr>
      <xdr:spPr bwMode="auto">
        <a:xfrm>
          <a:off x="3079630" y="18943608"/>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134</xdr:row>
      <xdr:rowOff>146649</xdr:rowOff>
    </xdr:from>
    <xdr:to>
      <xdr:col>0</xdr:col>
      <xdr:colOff>431321</xdr:colOff>
      <xdr:row>134</xdr:row>
      <xdr:rowOff>155275</xdr:rowOff>
    </xdr:to>
    <xdr:sp macro="" textlink="">
      <xdr:nvSpPr>
        <xdr:cNvPr id="71968" name="Rectangle 288"/>
        <xdr:cNvSpPr>
          <a:spLocks/>
        </xdr:cNvSpPr>
      </xdr:nvSpPr>
      <xdr:spPr bwMode="auto">
        <a:xfrm>
          <a:off x="414068" y="26681502"/>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134</xdr:row>
      <xdr:rowOff>51758</xdr:rowOff>
    </xdr:from>
    <xdr:to>
      <xdr:col>1</xdr:col>
      <xdr:colOff>569343</xdr:colOff>
      <xdr:row>134</xdr:row>
      <xdr:rowOff>60385</xdr:rowOff>
    </xdr:to>
    <xdr:sp macro="" textlink="">
      <xdr:nvSpPr>
        <xdr:cNvPr id="71969" name="Rectangle 289"/>
        <xdr:cNvSpPr>
          <a:spLocks/>
        </xdr:cNvSpPr>
      </xdr:nvSpPr>
      <xdr:spPr bwMode="auto">
        <a:xfrm>
          <a:off x="2812211" y="26586611"/>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174</xdr:row>
      <xdr:rowOff>51758</xdr:rowOff>
    </xdr:from>
    <xdr:to>
      <xdr:col>0</xdr:col>
      <xdr:colOff>207034</xdr:colOff>
      <xdr:row>174</xdr:row>
      <xdr:rowOff>60385</xdr:rowOff>
    </xdr:to>
    <xdr:sp macro="" textlink="">
      <xdr:nvSpPr>
        <xdr:cNvPr id="71970" name="Rectangle 290"/>
        <xdr:cNvSpPr>
          <a:spLocks/>
        </xdr:cNvSpPr>
      </xdr:nvSpPr>
      <xdr:spPr bwMode="auto">
        <a:xfrm>
          <a:off x="189781" y="34522913"/>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96</xdr:row>
      <xdr:rowOff>146649</xdr:rowOff>
    </xdr:from>
    <xdr:to>
      <xdr:col>0</xdr:col>
      <xdr:colOff>897147</xdr:colOff>
      <xdr:row>96</xdr:row>
      <xdr:rowOff>155275</xdr:rowOff>
    </xdr:to>
    <xdr:sp macro="" textlink="">
      <xdr:nvSpPr>
        <xdr:cNvPr id="71971" name="Rectangle 291"/>
        <xdr:cNvSpPr>
          <a:spLocks/>
        </xdr:cNvSpPr>
      </xdr:nvSpPr>
      <xdr:spPr bwMode="auto">
        <a:xfrm>
          <a:off x="879894" y="19142015"/>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96</xdr:row>
      <xdr:rowOff>146649</xdr:rowOff>
    </xdr:from>
    <xdr:to>
      <xdr:col>1</xdr:col>
      <xdr:colOff>836762</xdr:colOff>
      <xdr:row>96</xdr:row>
      <xdr:rowOff>155275</xdr:rowOff>
    </xdr:to>
    <xdr:sp macro="" textlink="">
      <xdr:nvSpPr>
        <xdr:cNvPr id="71972" name="Rectangle 292"/>
        <xdr:cNvSpPr>
          <a:spLocks/>
        </xdr:cNvSpPr>
      </xdr:nvSpPr>
      <xdr:spPr bwMode="auto">
        <a:xfrm>
          <a:off x="3079630" y="19142015"/>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136</xdr:row>
      <xdr:rowOff>146649</xdr:rowOff>
    </xdr:from>
    <xdr:to>
      <xdr:col>0</xdr:col>
      <xdr:colOff>431321</xdr:colOff>
      <xdr:row>136</xdr:row>
      <xdr:rowOff>155275</xdr:rowOff>
    </xdr:to>
    <xdr:sp macro="" textlink="">
      <xdr:nvSpPr>
        <xdr:cNvPr id="71973" name="Rectangle 293"/>
        <xdr:cNvSpPr>
          <a:spLocks/>
        </xdr:cNvSpPr>
      </xdr:nvSpPr>
      <xdr:spPr bwMode="auto">
        <a:xfrm>
          <a:off x="414068" y="27078317"/>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135</xdr:row>
      <xdr:rowOff>129396</xdr:rowOff>
    </xdr:from>
    <xdr:to>
      <xdr:col>1</xdr:col>
      <xdr:colOff>569343</xdr:colOff>
      <xdr:row>135</xdr:row>
      <xdr:rowOff>138023</xdr:rowOff>
    </xdr:to>
    <xdr:sp macro="" textlink="">
      <xdr:nvSpPr>
        <xdr:cNvPr id="71974" name="Rectangle 294"/>
        <xdr:cNvSpPr>
          <a:spLocks/>
        </xdr:cNvSpPr>
      </xdr:nvSpPr>
      <xdr:spPr bwMode="auto">
        <a:xfrm>
          <a:off x="2812211" y="26862657"/>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175</xdr:row>
      <xdr:rowOff>129396</xdr:rowOff>
    </xdr:from>
    <xdr:to>
      <xdr:col>0</xdr:col>
      <xdr:colOff>207034</xdr:colOff>
      <xdr:row>175</xdr:row>
      <xdr:rowOff>138023</xdr:rowOff>
    </xdr:to>
    <xdr:sp macro="" textlink="">
      <xdr:nvSpPr>
        <xdr:cNvPr id="71975" name="Rectangle 295"/>
        <xdr:cNvSpPr>
          <a:spLocks/>
        </xdr:cNvSpPr>
      </xdr:nvSpPr>
      <xdr:spPr bwMode="auto">
        <a:xfrm>
          <a:off x="189781" y="34798958"/>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97</xdr:row>
      <xdr:rowOff>146649</xdr:rowOff>
    </xdr:from>
    <xdr:to>
      <xdr:col>0</xdr:col>
      <xdr:colOff>897147</xdr:colOff>
      <xdr:row>97</xdr:row>
      <xdr:rowOff>155275</xdr:rowOff>
    </xdr:to>
    <xdr:sp macro="" textlink="">
      <xdr:nvSpPr>
        <xdr:cNvPr id="71976" name="Rectangle 296"/>
        <xdr:cNvSpPr>
          <a:spLocks/>
        </xdr:cNvSpPr>
      </xdr:nvSpPr>
      <xdr:spPr bwMode="auto">
        <a:xfrm>
          <a:off x="879894" y="19340423"/>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97</xdr:row>
      <xdr:rowOff>146649</xdr:rowOff>
    </xdr:from>
    <xdr:to>
      <xdr:col>1</xdr:col>
      <xdr:colOff>836762</xdr:colOff>
      <xdr:row>97</xdr:row>
      <xdr:rowOff>155275</xdr:rowOff>
    </xdr:to>
    <xdr:sp macro="" textlink="">
      <xdr:nvSpPr>
        <xdr:cNvPr id="71977" name="Rectangle 297"/>
        <xdr:cNvSpPr>
          <a:spLocks/>
        </xdr:cNvSpPr>
      </xdr:nvSpPr>
      <xdr:spPr bwMode="auto">
        <a:xfrm>
          <a:off x="3079630" y="19340423"/>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137</xdr:row>
      <xdr:rowOff>146649</xdr:rowOff>
    </xdr:from>
    <xdr:to>
      <xdr:col>0</xdr:col>
      <xdr:colOff>431321</xdr:colOff>
      <xdr:row>137</xdr:row>
      <xdr:rowOff>155275</xdr:rowOff>
    </xdr:to>
    <xdr:sp macro="" textlink="">
      <xdr:nvSpPr>
        <xdr:cNvPr id="71978" name="Rectangle 298"/>
        <xdr:cNvSpPr>
          <a:spLocks/>
        </xdr:cNvSpPr>
      </xdr:nvSpPr>
      <xdr:spPr bwMode="auto">
        <a:xfrm>
          <a:off x="414068" y="27276725"/>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137</xdr:row>
      <xdr:rowOff>146649</xdr:rowOff>
    </xdr:from>
    <xdr:to>
      <xdr:col>1</xdr:col>
      <xdr:colOff>569343</xdr:colOff>
      <xdr:row>137</xdr:row>
      <xdr:rowOff>155275</xdr:rowOff>
    </xdr:to>
    <xdr:sp macro="" textlink="">
      <xdr:nvSpPr>
        <xdr:cNvPr id="71979" name="Rectangle 299"/>
        <xdr:cNvSpPr>
          <a:spLocks/>
        </xdr:cNvSpPr>
      </xdr:nvSpPr>
      <xdr:spPr bwMode="auto">
        <a:xfrm>
          <a:off x="2812211" y="27276725"/>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178</xdr:row>
      <xdr:rowOff>146649</xdr:rowOff>
    </xdr:from>
    <xdr:to>
      <xdr:col>0</xdr:col>
      <xdr:colOff>207034</xdr:colOff>
      <xdr:row>178</xdr:row>
      <xdr:rowOff>155275</xdr:rowOff>
    </xdr:to>
    <xdr:sp macro="" textlink="">
      <xdr:nvSpPr>
        <xdr:cNvPr id="71980" name="Rectangle 300"/>
        <xdr:cNvSpPr>
          <a:spLocks/>
        </xdr:cNvSpPr>
      </xdr:nvSpPr>
      <xdr:spPr bwMode="auto">
        <a:xfrm>
          <a:off x="189781" y="35411434"/>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98</xdr:row>
      <xdr:rowOff>146649</xdr:rowOff>
    </xdr:from>
    <xdr:to>
      <xdr:col>0</xdr:col>
      <xdr:colOff>897147</xdr:colOff>
      <xdr:row>98</xdr:row>
      <xdr:rowOff>155275</xdr:rowOff>
    </xdr:to>
    <xdr:sp macro="" textlink="">
      <xdr:nvSpPr>
        <xdr:cNvPr id="71981" name="Rectangle 301"/>
        <xdr:cNvSpPr>
          <a:spLocks/>
        </xdr:cNvSpPr>
      </xdr:nvSpPr>
      <xdr:spPr bwMode="auto">
        <a:xfrm>
          <a:off x="879894" y="19538830"/>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98</xdr:row>
      <xdr:rowOff>146649</xdr:rowOff>
    </xdr:from>
    <xdr:to>
      <xdr:col>1</xdr:col>
      <xdr:colOff>836762</xdr:colOff>
      <xdr:row>98</xdr:row>
      <xdr:rowOff>155275</xdr:rowOff>
    </xdr:to>
    <xdr:sp macro="" textlink="">
      <xdr:nvSpPr>
        <xdr:cNvPr id="71982" name="Rectangle 302"/>
        <xdr:cNvSpPr>
          <a:spLocks/>
        </xdr:cNvSpPr>
      </xdr:nvSpPr>
      <xdr:spPr bwMode="auto">
        <a:xfrm>
          <a:off x="3079630" y="19538830"/>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138</xdr:row>
      <xdr:rowOff>146649</xdr:rowOff>
    </xdr:from>
    <xdr:to>
      <xdr:col>0</xdr:col>
      <xdr:colOff>431321</xdr:colOff>
      <xdr:row>138</xdr:row>
      <xdr:rowOff>155275</xdr:rowOff>
    </xdr:to>
    <xdr:sp macro="" textlink="">
      <xdr:nvSpPr>
        <xdr:cNvPr id="71983" name="Rectangle 303"/>
        <xdr:cNvSpPr>
          <a:spLocks/>
        </xdr:cNvSpPr>
      </xdr:nvSpPr>
      <xdr:spPr bwMode="auto">
        <a:xfrm>
          <a:off x="414068" y="27475132"/>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138</xdr:row>
      <xdr:rowOff>146649</xdr:rowOff>
    </xdr:from>
    <xdr:to>
      <xdr:col>1</xdr:col>
      <xdr:colOff>569343</xdr:colOff>
      <xdr:row>138</xdr:row>
      <xdr:rowOff>155275</xdr:rowOff>
    </xdr:to>
    <xdr:sp macro="" textlink="">
      <xdr:nvSpPr>
        <xdr:cNvPr id="71984" name="Rectangle 304"/>
        <xdr:cNvSpPr>
          <a:spLocks/>
        </xdr:cNvSpPr>
      </xdr:nvSpPr>
      <xdr:spPr bwMode="auto">
        <a:xfrm>
          <a:off x="2812211" y="27475132"/>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179</xdr:row>
      <xdr:rowOff>146649</xdr:rowOff>
    </xdr:from>
    <xdr:to>
      <xdr:col>0</xdr:col>
      <xdr:colOff>207034</xdr:colOff>
      <xdr:row>179</xdr:row>
      <xdr:rowOff>155275</xdr:rowOff>
    </xdr:to>
    <xdr:sp macro="" textlink="">
      <xdr:nvSpPr>
        <xdr:cNvPr id="71985" name="Rectangle 305"/>
        <xdr:cNvSpPr>
          <a:spLocks/>
        </xdr:cNvSpPr>
      </xdr:nvSpPr>
      <xdr:spPr bwMode="auto">
        <a:xfrm>
          <a:off x="189781" y="35609842"/>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100</xdr:row>
      <xdr:rowOff>146649</xdr:rowOff>
    </xdr:from>
    <xdr:to>
      <xdr:col>0</xdr:col>
      <xdr:colOff>897147</xdr:colOff>
      <xdr:row>100</xdr:row>
      <xdr:rowOff>155275</xdr:rowOff>
    </xdr:to>
    <xdr:sp macro="" textlink="">
      <xdr:nvSpPr>
        <xdr:cNvPr id="71986" name="Rectangle 306"/>
        <xdr:cNvSpPr>
          <a:spLocks/>
        </xdr:cNvSpPr>
      </xdr:nvSpPr>
      <xdr:spPr bwMode="auto">
        <a:xfrm>
          <a:off x="879894" y="19935645"/>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100</xdr:row>
      <xdr:rowOff>146649</xdr:rowOff>
    </xdr:from>
    <xdr:to>
      <xdr:col>1</xdr:col>
      <xdr:colOff>836762</xdr:colOff>
      <xdr:row>100</xdr:row>
      <xdr:rowOff>155275</xdr:rowOff>
    </xdr:to>
    <xdr:sp macro="" textlink="">
      <xdr:nvSpPr>
        <xdr:cNvPr id="71987" name="Rectangle 307"/>
        <xdr:cNvSpPr>
          <a:spLocks/>
        </xdr:cNvSpPr>
      </xdr:nvSpPr>
      <xdr:spPr bwMode="auto">
        <a:xfrm>
          <a:off x="3079630" y="19935645"/>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139</xdr:row>
      <xdr:rowOff>146649</xdr:rowOff>
    </xdr:from>
    <xdr:to>
      <xdr:col>0</xdr:col>
      <xdr:colOff>431321</xdr:colOff>
      <xdr:row>139</xdr:row>
      <xdr:rowOff>155275</xdr:rowOff>
    </xdr:to>
    <xdr:sp macro="" textlink="">
      <xdr:nvSpPr>
        <xdr:cNvPr id="71988" name="Rectangle 308"/>
        <xdr:cNvSpPr>
          <a:spLocks/>
        </xdr:cNvSpPr>
      </xdr:nvSpPr>
      <xdr:spPr bwMode="auto">
        <a:xfrm>
          <a:off x="414068" y="27673540"/>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139</xdr:row>
      <xdr:rowOff>51758</xdr:rowOff>
    </xdr:from>
    <xdr:to>
      <xdr:col>1</xdr:col>
      <xdr:colOff>569343</xdr:colOff>
      <xdr:row>139</xdr:row>
      <xdr:rowOff>60385</xdr:rowOff>
    </xdr:to>
    <xdr:sp macro="" textlink="">
      <xdr:nvSpPr>
        <xdr:cNvPr id="71989" name="Rectangle 309"/>
        <xdr:cNvSpPr>
          <a:spLocks/>
        </xdr:cNvSpPr>
      </xdr:nvSpPr>
      <xdr:spPr bwMode="auto">
        <a:xfrm>
          <a:off x="2812211" y="27578649"/>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180</xdr:row>
      <xdr:rowOff>51758</xdr:rowOff>
    </xdr:from>
    <xdr:to>
      <xdr:col>0</xdr:col>
      <xdr:colOff>207034</xdr:colOff>
      <xdr:row>180</xdr:row>
      <xdr:rowOff>60385</xdr:rowOff>
    </xdr:to>
    <xdr:sp macro="" textlink="">
      <xdr:nvSpPr>
        <xdr:cNvPr id="71990" name="Rectangle 310"/>
        <xdr:cNvSpPr>
          <a:spLocks/>
        </xdr:cNvSpPr>
      </xdr:nvSpPr>
      <xdr:spPr bwMode="auto">
        <a:xfrm>
          <a:off x="189781" y="35713358"/>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101</xdr:row>
      <xdr:rowOff>146649</xdr:rowOff>
    </xdr:from>
    <xdr:to>
      <xdr:col>0</xdr:col>
      <xdr:colOff>897147</xdr:colOff>
      <xdr:row>101</xdr:row>
      <xdr:rowOff>155275</xdr:rowOff>
    </xdr:to>
    <xdr:sp macro="" textlink="">
      <xdr:nvSpPr>
        <xdr:cNvPr id="71991" name="Rectangle 311"/>
        <xdr:cNvSpPr>
          <a:spLocks/>
        </xdr:cNvSpPr>
      </xdr:nvSpPr>
      <xdr:spPr bwMode="auto">
        <a:xfrm>
          <a:off x="879894" y="20134053"/>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101</xdr:row>
      <xdr:rowOff>146649</xdr:rowOff>
    </xdr:from>
    <xdr:to>
      <xdr:col>1</xdr:col>
      <xdr:colOff>836762</xdr:colOff>
      <xdr:row>101</xdr:row>
      <xdr:rowOff>155275</xdr:rowOff>
    </xdr:to>
    <xdr:sp macro="" textlink="">
      <xdr:nvSpPr>
        <xdr:cNvPr id="71992" name="Rectangle 312"/>
        <xdr:cNvSpPr>
          <a:spLocks/>
        </xdr:cNvSpPr>
      </xdr:nvSpPr>
      <xdr:spPr bwMode="auto">
        <a:xfrm>
          <a:off x="3079630" y="20134053"/>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140</xdr:row>
      <xdr:rowOff>146649</xdr:rowOff>
    </xdr:from>
    <xdr:to>
      <xdr:col>0</xdr:col>
      <xdr:colOff>431321</xdr:colOff>
      <xdr:row>140</xdr:row>
      <xdr:rowOff>155275</xdr:rowOff>
    </xdr:to>
    <xdr:sp macro="" textlink="">
      <xdr:nvSpPr>
        <xdr:cNvPr id="71993" name="Rectangle 313"/>
        <xdr:cNvSpPr>
          <a:spLocks/>
        </xdr:cNvSpPr>
      </xdr:nvSpPr>
      <xdr:spPr bwMode="auto">
        <a:xfrm>
          <a:off x="414068" y="27871947"/>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211</xdr:row>
      <xdr:rowOff>0</xdr:rowOff>
    </xdr:from>
    <xdr:to>
      <xdr:col>1</xdr:col>
      <xdr:colOff>569343</xdr:colOff>
      <xdr:row>211</xdr:row>
      <xdr:rowOff>0</xdr:rowOff>
    </xdr:to>
    <xdr:sp macro="" textlink="">
      <xdr:nvSpPr>
        <xdr:cNvPr id="71994" name="Rectangle 314"/>
        <xdr:cNvSpPr>
          <a:spLocks/>
        </xdr:cNvSpPr>
      </xdr:nvSpPr>
      <xdr:spPr bwMode="auto">
        <a:xfrm>
          <a:off x="2812211" y="41812234"/>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181</xdr:row>
      <xdr:rowOff>129396</xdr:rowOff>
    </xdr:from>
    <xdr:to>
      <xdr:col>0</xdr:col>
      <xdr:colOff>207034</xdr:colOff>
      <xdr:row>181</xdr:row>
      <xdr:rowOff>138023</xdr:rowOff>
    </xdr:to>
    <xdr:sp macro="" textlink="">
      <xdr:nvSpPr>
        <xdr:cNvPr id="71995" name="Rectangle 315"/>
        <xdr:cNvSpPr>
          <a:spLocks/>
        </xdr:cNvSpPr>
      </xdr:nvSpPr>
      <xdr:spPr bwMode="auto">
        <a:xfrm>
          <a:off x="189781" y="35989404"/>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103</xdr:row>
      <xdr:rowOff>146649</xdr:rowOff>
    </xdr:from>
    <xdr:to>
      <xdr:col>0</xdr:col>
      <xdr:colOff>897147</xdr:colOff>
      <xdr:row>103</xdr:row>
      <xdr:rowOff>155275</xdr:rowOff>
    </xdr:to>
    <xdr:sp macro="" textlink="">
      <xdr:nvSpPr>
        <xdr:cNvPr id="71996" name="Rectangle 316"/>
        <xdr:cNvSpPr>
          <a:spLocks/>
        </xdr:cNvSpPr>
      </xdr:nvSpPr>
      <xdr:spPr bwMode="auto">
        <a:xfrm>
          <a:off x="879894" y="20530868"/>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103</xdr:row>
      <xdr:rowOff>146649</xdr:rowOff>
    </xdr:from>
    <xdr:to>
      <xdr:col>1</xdr:col>
      <xdr:colOff>836762</xdr:colOff>
      <xdr:row>103</xdr:row>
      <xdr:rowOff>155275</xdr:rowOff>
    </xdr:to>
    <xdr:sp macro="" textlink="">
      <xdr:nvSpPr>
        <xdr:cNvPr id="71997" name="Rectangle 317"/>
        <xdr:cNvSpPr>
          <a:spLocks/>
        </xdr:cNvSpPr>
      </xdr:nvSpPr>
      <xdr:spPr bwMode="auto">
        <a:xfrm>
          <a:off x="3079630" y="20530868"/>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142</xdr:row>
      <xdr:rowOff>146649</xdr:rowOff>
    </xdr:from>
    <xdr:to>
      <xdr:col>0</xdr:col>
      <xdr:colOff>431321</xdr:colOff>
      <xdr:row>142</xdr:row>
      <xdr:rowOff>155275</xdr:rowOff>
    </xdr:to>
    <xdr:sp macro="" textlink="">
      <xdr:nvSpPr>
        <xdr:cNvPr id="71998" name="Rectangle 318"/>
        <xdr:cNvSpPr>
          <a:spLocks/>
        </xdr:cNvSpPr>
      </xdr:nvSpPr>
      <xdr:spPr bwMode="auto">
        <a:xfrm>
          <a:off x="414068" y="28268762"/>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142</xdr:row>
      <xdr:rowOff>146649</xdr:rowOff>
    </xdr:from>
    <xdr:to>
      <xdr:col>1</xdr:col>
      <xdr:colOff>569343</xdr:colOff>
      <xdr:row>142</xdr:row>
      <xdr:rowOff>155275</xdr:rowOff>
    </xdr:to>
    <xdr:sp macro="" textlink="">
      <xdr:nvSpPr>
        <xdr:cNvPr id="71999" name="Rectangle 319"/>
        <xdr:cNvSpPr>
          <a:spLocks/>
        </xdr:cNvSpPr>
      </xdr:nvSpPr>
      <xdr:spPr bwMode="auto">
        <a:xfrm>
          <a:off x="2812211" y="28268762"/>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184</xdr:row>
      <xdr:rowOff>146649</xdr:rowOff>
    </xdr:from>
    <xdr:to>
      <xdr:col>0</xdr:col>
      <xdr:colOff>207034</xdr:colOff>
      <xdr:row>184</xdr:row>
      <xdr:rowOff>155275</xdr:rowOff>
    </xdr:to>
    <xdr:sp macro="" textlink="">
      <xdr:nvSpPr>
        <xdr:cNvPr id="72000" name="Rectangle 320"/>
        <xdr:cNvSpPr>
          <a:spLocks/>
        </xdr:cNvSpPr>
      </xdr:nvSpPr>
      <xdr:spPr bwMode="auto">
        <a:xfrm>
          <a:off x="189781" y="36601879"/>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105</xdr:row>
      <xdr:rowOff>146649</xdr:rowOff>
    </xdr:from>
    <xdr:to>
      <xdr:col>0</xdr:col>
      <xdr:colOff>897147</xdr:colOff>
      <xdr:row>105</xdr:row>
      <xdr:rowOff>155275</xdr:rowOff>
    </xdr:to>
    <xdr:sp macro="" textlink="">
      <xdr:nvSpPr>
        <xdr:cNvPr id="72001" name="Rectangle 321"/>
        <xdr:cNvSpPr>
          <a:spLocks/>
        </xdr:cNvSpPr>
      </xdr:nvSpPr>
      <xdr:spPr bwMode="auto">
        <a:xfrm>
          <a:off x="879894" y="20927683"/>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105</xdr:row>
      <xdr:rowOff>146649</xdr:rowOff>
    </xdr:from>
    <xdr:to>
      <xdr:col>1</xdr:col>
      <xdr:colOff>836762</xdr:colOff>
      <xdr:row>105</xdr:row>
      <xdr:rowOff>155275</xdr:rowOff>
    </xdr:to>
    <xdr:sp macro="" textlink="">
      <xdr:nvSpPr>
        <xdr:cNvPr id="72002" name="Rectangle 322"/>
        <xdr:cNvSpPr>
          <a:spLocks/>
        </xdr:cNvSpPr>
      </xdr:nvSpPr>
      <xdr:spPr bwMode="auto">
        <a:xfrm>
          <a:off x="3079630" y="20927683"/>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143</xdr:row>
      <xdr:rowOff>146649</xdr:rowOff>
    </xdr:from>
    <xdr:to>
      <xdr:col>0</xdr:col>
      <xdr:colOff>431321</xdr:colOff>
      <xdr:row>143</xdr:row>
      <xdr:rowOff>155275</xdr:rowOff>
    </xdr:to>
    <xdr:sp macro="" textlink="">
      <xdr:nvSpPr>
        <xdr:cNvPr id="72003" name="Rectangle 323"/>
        <xdr:cNvSpPr>
          <a:spLocks/>
        </xdr:cNvSpPr>
      </xdr:nvSpPr>
      <xdr:spPr bwMode="auto">
        <a:xfrm>
          <a:off x="414068" y="28467170"/>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143</xdr:row>
      <xdr:rowOff>51758</xdr:rowOff>
    </xdr:from>
    <xdr:to>
      <xdr:col>1</xdr:col>
      <xdr:colOff>569343</xdr:colOff>
      <xdr:row>143</xdr:row>
      <xdr:rowOff>60385</xdr:rowOff>
    </xdr:to>
    <xdr:sp macro="" textlink="">
      <xdr:nvSpPr>
        <xdr:cNvPr id="72004" name="Rectangle 324"/>
        <xdr:cNvSpPr>
          <a:spLocks/>
        </xdr:cNvSpPr>
      </xdr:nvSpPr>
      <xdr:spPr bwMode="auto">
        <a:xfrm>
          <a:off x="2812211" y="28372279"/>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185</xdr:row>
      <xdr:rowOff>51758</xdr:rowOff>
    </xdr:from>
    <xdr:to>
      <xdr:col>0</xdr:col>
      <xdr:colOff>207034</xdr:colOff>
      <xdr:row>185</xdr:row>
      <xdr:rowOff>60385</xdr:rowOff>
    </xdr:to>
    <xdr:sp macro="" textlink="">
      <xdr:nvSpPr>
        <xdr:cNvPr id="72005" name="Rectangle 325"/>
        <xdr:cNvSpPr>
          <a:spLocks/>
        </xdr:cNvSpPr>
      </xdr:nvSpPr>
      <xdr:spPr bwMode="auto">
        <a:xfrm>
          <a:off x="189781" y="36705396"/>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106</xdr:row>
      <xdr:rowOff>146649</xdr:rowOff>
    </xdr:from>
    <xdr:to>
      <xdr:col>0</xdr:col>
      <xdr:colOff>897147</xdr:colOff>
      <xdr:row>106</xdr:row>
      <xdr:rowOff>155275</xdr:rowOff>
    </xdr:to>
    <xdr:sp macro="" textlink="">
      <xdr:nvSpPr>
        <xdr:cNvPr id="72006" name="Rectangle 326"/>
        <xdr:cNvSpPr>
          <a:spLocks/>
        </xdr:cNvSpPr>
      </xdr:nvSpPr>
      <xdr:spPr bwMode="auto">
        <a:xfrm>
          <a:off x="879894" y="21126091"/>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106</xdr:row>
      <xdr:rowOff>146649</xdr:rowOff>
    </xdr:from>
    <xdr:to>
      <xdr:col>1</xdr:col>
      <xdr:colOff>836762</xdr:colOff>
      <xdr:row>106</xdr:row>
      <xdr:rowOff>155275</xdr:rowOff>
    </xdr:to>
    <xdr:sp macro="" textlink="">
      <xdr:nvSpPr>
        <xdr:cNvPr id="72007" name="Rectangle 327"/>
        <xdr:cNvSpPr>
          <a:spLocks/>
        </xdr:cNvSpPr>
      </xdr:nvSpPr>
      <xdr:spPr bwMode="auto">
        <a:xfrm>
          <a:off x="3079630" y="21126091"/>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144</xdr:row>
      <xdr:rowOff>146649</xdr:rowOff>
    </xdr:from>
    <xdr:to>
      <xdr:col>0</xdr:col>
      <xdr:colOff>431321</xdr:colOff>
      <xdr:row>144</xdr:row>
      <xdr:rowOff>155275</xdr:rowOff>
    </xdr:to>
    <xdr:sp macro="" textlink="">
      <xdr:nvSpPr>
        <xdr:cNvPr id="72008" name="Rectangle 328"/>
        <xdr:cNvSpPr>
          <a:spLocks/>
        </xdr:cNvSpPr>
      </xdr:nvSpPr>
      <xdr:spPr bwMode="auto">
        <a:xfrm>
          <a:off x="414068" y="28665577"/>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143</xdr:row>
      <xdr:rowOff>0</xdr:rowOff>
    </xdr:from>
    <xdr:to>
      <xdr:col>1</xdr:col>
      <xdr:colOff>569343</xdr:colOff>
      <xdr:row>143</xdr:row>
      <xdr:rowOff>0</xdr:rowOff>
    </xdr:to>
    <xdr:sp macro="" textlink="">
      <xdr:nvSpPr>
        <xdr:cNvPr id="72009" name="Rectangle 329"/>
        <xdr:cNvSpPr>
          <a:spLocks/>
        </xdr:cNvSpPr>
      </xdr:nvSpPr>
      <xdr:spPr bwMode="auto">
        <a:xfrm>
          <a:off x="2812211" y="28320521"/>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186</xdr:row>
      <xdr:rowOff>129396</xdr:rowOff>
    </xdr:from>
    <xdr:to>
      <xdr:col>0</xdr:col>
      <xdr:colOff>207034</xdr:colOff>
      <xdr:row>186</xdr:row>
      <xdr:rowOff>138023</xdr:rowOff>
    </xdr:to>
    <xdr:sp macro="" textlink="">
      <xdr:nvSpPr>
        <xdr:cNvPr id="72010" name="Rectangle 330"/>
        <xdr:cNvSpPr>
          <a:spLocks/>
        </xdr:cNvSpPr>
      </xdr:nvSpPr>
      <xdr:spPr bwMode="auto">
        <a:xfrm>
          <a:off x="189781" y="36981442"/>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108</xdr:row>
      <xdr:rowOff>146649</xdr:rowOff>
    </xdr:from>
    <xdr:to>
      <xdr:col>0</xdr:col>
      <xdr:colOff>897147</xdr:colOff>
      <xdr:row>108</xdr:row>
      <xdr:rowOff>155275</xdr:rowOff>
    </xdr:to>
    <xdr:sp macro="" textlink="">
      <xdr:nvSpPr>
        <xdr:cNvPr id="72011" name="Rectangle 331"/>
        <xdr:cNvSpPr>
          <a:spLocks/>
        </xdr:cNvSpPr>
      </xdr:nvSpPr>
      <xdr:spPr bwMode="auto">
        <a:xfrm>
          <a:off x="879894" y="21522906"/>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108</xdr:row>
      <xdr:rowOff>146649</xdr:rowOff>
    </xdr:from>
    <xdr:to>
      <xdr:col>1</xdr:col>
      <xdr:colOff>836762</xdr:colOff>
      <xdr:row>108</xdr:row>
      <xdr:rowOff>155275</xdr:rowOff>
    </xdr:to>
    <xdr:sp macro="" textlink="">
      <xdr:nvSpPr>
        <xdr:cNvPr id="72012" name="Rectangle 332"/>
        <xdr:cNvSpPr>
          <a:spLocks/>
        </xdr:cNvSpPr>
      </xdr:nvSpPr>
      <xdr:spPr bwMode="auto">
        <a:xfrm>
          <a:off x="3079630" y="21522906"/>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145</xdr:row>
      <xdr:rowOff>146649</xdr:rowOff>
    </xdr:from>
    <xdr:to>
      <xdr:col>0</xdr:col>
      <xdr:colOff>431321</xdr:colOff>
      <xdr:row>145</xdr:row>
      <xdr:rowOff>155275</xdr:rowOff>
    </xdr:to>
    <xdr:sp macro="" textlink="">
      <xdr:nvSpPr>
        <xdr:cNvPr id="72013" name="Rectangle 333"/>
        <xdr:cNvSpPr>
          <a:spLocks/>
        </xdr:cNvSpPr>
      </xdr:nvSpPr>
      <xdr:spPr bwMode="auto">
        <a:xfrm>
          <a:off x="414068" y="28863985"/>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145</xdr:row>
      <xdr:rowOff>146649</xdr:rowOff>
    </xdr:from>
    <xdr:to>
      <xdr:col>1</xdr:col>
      <xdr:colOff>569343</xdr:colOff>
      <xdr:row>145</xdr:row>
      <xdr:rowOff>155275</xdr:rowOff>
    </xdr:to>
    <xdr:sp macro="" textlink="">
      <xdr:nvSpPr>
        <xdr:cNvPr id="72014" name="Rectangle 334"/>
        <xdr:cNvSpPr>
          <a:spLocks/>
        </xdr:cNvSpPr>
      </xdr:nvSpPr>
      <xdr:spPr bwMode="auto">
        <a:xfrm>
          <a:off x="2812211" y="28863985"/>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189</xdr:row>
      <xdr:rowOff>146649</xdr:rowOff>
    </xdr:from>
    <xdr:to>
      <xdr:col>0</xdr:col>
      <xdr:colOff>207034</xdr:colOff>
      <xdr:row>189</xdr:row>
      <xdr:rowOff>155275</xdr:rowOff>
    </xdr:to>
    <xdr:sp macro="" textlink="">
      <xdr:nvSpPr>
        <xdr:cNvPr id="72015" name="Rectangle 335"/>
        <xdr:cNvSpPr>
          <a:spLocks/>
        </xdr:cNvSpPr>
      </xdr:nvSpPr>
      <xdr:spPr bwMode="auto">
        <a:xfrm>
          <a:off x="189781" y="37593917"/>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109</xdr:row>
      <xdr:rowOff>146649</xdr:rowOff>
    </xdr:from>
    <xdr:to>
      <xdr:col>0</xdr:col>
      <xdr:colOff>897147</xdr:colOff>
      <xdr:row>109</xdr:row>
      <xdr:rowOff>155275</xdr:rowOff>
    </xdr:to>
    <xdr:sp macro="" textlink="">
      <xdr:nvSpPr>
        <xdr:cNvPr id="72016" name="Rectangle 336"/>
        <xdr:cNvSpPr>
          <a:spLocks/>
        </xdr:cNvSpPr>
      </xdr:nvSpPr>
      <xdr:spPr bwMode="auto">
        <a:xfrm>
          <a:off x="879894" y="21721313"/>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109</xdr:row>
      <xdr:rowOff>146649</xdr:rowOff>
    </xdr:from>
    <xdr:to>
      <xdr:col>1</xdr:col>
      <xdr:colOff>836762</xdr:colOff>
      <xdr:row>109</xdr:row>
      <xdr:rowOff>155275</xdr:rowOff>
    </xdr:to>
    <xdr:sp macro="" textlink="">
      <xdr:nvSpPr>
        <xdr:cNvPr id="72017" name="Rectangle 337"/>
        <xdr:cNvSpPr>
          <a:spLocks/>
        </xdr:cNvSpPr>
      </xdr:nvSpPr>
      <xdr:spPr bwMode="auto">
        <a:xfrm>
          <a:off x="3079630" y="21721313"/>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146</xdr:row>
      <xdr:rowOff>146649</xdr:rowOff>
    </xdr:from>
    <xdr:to>
      <xdr:col>0</xdr:col>
      <xdr:colOff>431321</xdr:colOff>
      <xdr:row>146</xdr:row>
      <xdr:rowOff>155275</xdr:rowOff>
    </xdr:to>
    <xdr:sp macro="" textlink="">
      <xdr:nvSpPr>
        <xdr:cNvPr id="72018" name="Rectangle 338"/>
        <xdr:cNvSpPr>
          <a:spLocks/>
        </xdr:cNvSpPr>
      </xdr:nvSpPr>
      <xdr:spPr bwMode="auto">
        <a:xfrm>
          <a:off x="414068" y="29062392"/>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146</xdr:row>
      <xdr:rowOff>146649</xdr:rowOff>
    </xdr:from>
    <xdr:to>
      <xdr:col>1</xdr:col>
      <xdr:colOff>569343</xdr:colOff>
      <xdr:row>146</xdr:row>
      <xdr:rowOff>155275</xdr:rowOff>
    </xdr:to>
    <xdr:sp macro="" textlink="">
      <xdr:nvSpPr>
        <xdr:cNvPr id="72019" name="Rectangle 339"/>
        <xdr:cNvSpPr>
          <a:spLocks/>
        </xdr:cNvSpPr>
      </xdr:nvSpPr>
      <xdr:spPr bwMode="auto">
        <a:xfrm>
          <a:off x="2812211" y="29062392"/>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190</xdr:row>
      <xdr:rowOff>146649</xdr:rowOff>
    </xdr:from>
    <xdr:to>
      <xdr:col>0</xdr:col>
      <xdr:colOff>207034</xdr:colOff>
      <xdr:row>190</xdr:row>
      <xdr:rowOff>155275</xdr:rowOff>
    </xdr:to>
    <xdr:sp macro="" textlink="">
      <xdr:nvSpPr>
        <xdr:cNvPr id="72020" name="Rectangle 340"/>
        <xdr:cNvSpPr>
          <a:spLocks/>
        </xdr:cNvSpPr>
      </xdr:nvSpPr>
      <xdr:spPr bwMode="auto">
        <a:xfrm>
          <a:off x="189781" y="37792325"/>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110</xdr:row>
      <xdr:rowOff>146649</xdr:rowOff>
    </xdr:from>
    <xdr:to>
      <xdr:col>0</xdr:col>
      <xdr:colOff>897147</xdr:colOff>
      <xdr:row>110</xdr:row>
      <xdr:rowOff>155275</xdr:rowOff>
    </xdr:to>
    <xdr:sp macro="" textlink="">
      <xdr:nvSpPr>
        <xdr:cNvPr id="72021" name="Rectangle 341"/>
        <xdr:cNvSpPr>
          <a:spLocks/>
        </xdr:cNvSpPr>
      </xdr:nvSpPr>
      <xdr:spPr bwMode="auto">
        <a:xfrm>
          <a:off x="879894" y="21919721"/>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110</xdr:row>
      <xdr:rowOff>146649</xdr:rowOff>
    </xdr:from>
    <xdr:to>
      <xdr:col>1</xdr:col>
      <xdr:colOff>836762</xdr:colOff>
      <xdr:row>110</xdr:row>
      <xdr:rowOff>155275</xdr:rowOff>
    </xdr:to>
    <xdr:sp macro="" textlink="">
      <xdr:nvSpPr>
        <xdr:cNvPr id="72022" name="Rectangle 342"/>
        <xdr:cNvSpPr>
          <a:spLocks/>
        </xdr:cNvSpPr>
      </xdr:nvSpPr>
      <xdr:spPr bwMode="auto">
        <a:xfrm>
          <a:off x="3079630" y="21919721"/>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147</xdr:row>
      <xdr:rowOff>146649</xdr:rowOff>
    </xdr:from>
    <xdr:to>
      <xdr:col>0</xdr:col>
      <xdr:colOff>431321</xdr:colOff>
      <xdr:row>147</xdr:row>
      <xdr:rowOff>155275</xdr:rowOff>
    </xdr:to>
    <xdr:sp macro="" textlink="">
      <xdr:nvSpPr>
        <xdr:cNvPr id="72023" name="Rectangle 343"/>
        <xdr:cNvSpPr>
          <a:spLocks/>
        </xdr:cNvSpPr>
      </xdr:nvSpPr>
      <xdr:spPr bwMode="auto">
        <a:xfrm>
          <a:off x="414068" y="29260800"/>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147</xdr:row>
      <xdr:rowOff>146649</xdr:rowOff>
    </xdr:from>
    <xdr:to>
      <xdr:col>1</xdr:col>
      <xdr:colOff>569343</xdr:colOff>
      <xdr:row>147</xdr:row>
      <xdr:rowOff>155275</xdr:rowOff>
    </xdr:to>
    <xdr:sp macro="" textlink="">
      <xdr:nvSpPr>
        <xdr:cNvPr id="72024" name="Rectangle 344"/>
        <xdr:cNvSpPr>
          <a:spLocks/>
        </xdr:cNvSpPr>
      </xdr:nvSpPr>
      <xdr:spPr bwMode="auto">
        <a:xfrm>
          <a:off x="2812211" y="29260800"/>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191</xdr:row>
      <xdr:rowOff>146649</xdr:rowOff>
    </xdr:from>
    <xdr:to>
      <xdr:col>0</xdr:col>
      <xdr:colOff>207034</xdr:colOff>
      <xdr:row>191</xdr:row>
      <xdr:rowOff>155275</xdr:rowOff>
    </xdr:to>
    <xdr:sp macro="" textlink="">
      <xdr:nvSpPr>
        <xdr:cNvPr id="72025" name="Rectangle 345"/>
        <xdr:cNvSpPr>
          <a:spLocks/>
        </xdr:cNvSpPr>
      </xdr:nvSpPr>
      <xdr:spPr bwMode="auto">
        <a:xfrm>
          <a:off x="189781" y="37990732"/>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111</xdr:row>
      <xdr:rowOff>146649</xdr:rowOff>
    </xdr:from>
    <xdr:to>
      <xdr:col>0</xdr:col>
      <xdr:colOff>897147</xdr:colOff>
      <xdr:row>111</xdr:row>
      <xdr:rowOff>155275</xdr:rowOff>
    </xdr:to>
    <xdr:sp macro="" textlink="">
      <xdr:nvSpPr>
        <xdr:cNvPr id="72026" name="Rectangle 346"/>
        <xdr:cNvSpPr>
          <a:spLocks/>
        </xdr:cNvSpPr>
      </xdr:nvSpPr>
      <xdr:spPr bwMode="auto">
        <a:xfrm>
          <a:off x="879894" y="22118128"/>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111</xdr:row>
      <xdr:rowOff>146649</xdr:rowOff>
    </xdr:from>
    <xdr:to>
      <xdr:col>1</xdr:col>
      <xdr:colOff>836762</xdr:colOff>
      <xdr:row>111</xdr:row>
      <xdr:rowOff>155275</xdr:rowOff>
    </xdr:to>
    <xdr:sp macro="" textlink="">
      <xdr:nvSpPr>
        <xdr:cNvPr id="72027" name="Rectangle 347"/>
        <xdr:cNvSpPr>
          <a:spLocks/>
        </xdr:cNvSpPr>
      </xdr:nvSpPr>
      <xdr:spPr bwMode="auto">
        <a:xfrm>
          <a:off x="3079630" y="22118128"/>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148</xdr:row>
      <xdr:rowOff>146649</xdr:rowOff>
    </xdr:from>
    <xdr:to>
      <xdr:col>0</xdr:col>
      <xdr:colOff>431321</xdr:colOff>
      <xdr:row>148</xdr:row>
      <xdr:rowOff>155275</xdr:rowOff>
    </xdr:to>
    <xdr:sp macro="" textlink="">
      <xdr:nvSpPr>
        <xdr:cNvPr id="72028" name="Rectangle 348"/>
        <xdr:cNvSpPr>
          <a:spLocks/>
        </xdr:cNvSpPr>
      </xdr:nvSpPr>
      <xdr:spPr bwMode="auto">
        <a:xfrm>
          <a:off x="414068" y="29459208"/>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148</xdr:row>
      <xdr:rowOff>146649</xdr:rowOff>
    </xdr:from>
    <xdr:to>
      <xdr:col>1</xdr:col>
      <xdr:colOff>569343</xdr:colOff>
      <xdr:row>148</xdr:row>
      <xdr:rowOff>155275</xdr:rowOff>
    </xdr:to>
    <xdr:sp macro="" textlink="">
      <xdr:nvSpPr>
        <xdr:cNvPr id="72029" name="Rectangle 349"/>
        <xdr:cNvSpPr>
          <a:spLocks/>
        </xdr:cNvSpPr>
      </xdr:nvSpPr>
      <xdr:spPr bwMode="auto">
        <a:xfrm>
          <a:off x="2812211" y="29459208"/>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192</xdr:row>
      <xdr:rowOff>146649</xdr:rowOff>
    </xdr:from>
    <xdr:to>
      <xdr:col>0</xdr:col>
      <xdr:colOff>207034</xdr:colOff>
      <xdr:row>192</xdr:row>
      <xdr:rowOff>155275</xdr:rowOff>
    </xdr:to>
    <xdr:sp macro="" textlink="">
      <xdr:nvSpPr>
        <xdr:cNvPr id="72030" name="Rectangle 350"/>
        <xdr:cNvSpPr>
          <a:spLocks/>
        </xdr:cNvSpPr>
      </xdr:nvSpPr>
      <xdr:spPr bwMode="auto">
        <a:xfrm>
          <a:off x="189781" y="38189140"/>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112</xdr:row>
      <xdr:rowOff>146649</xdr:rowOff>
    </xdr:from>
    <xdr:to>
      <xdr:col>0</xdr:col>
      <xdr:colOff>897147</xdr:colOff>
      <xdr:row>112</xdr:row>
      <xdr:rowOff>155275</xdr:rowOff>
    </xdr:to>
    <xdr:sp macro="" textlink="">
      <xdr:nvSpPr>
        <xdr:cNvPr id="72031" name="Rectangle 351"/>
        <xdr:cNvSpPr>
          <a:spLocks/>
        </xdr:cNvSpPr>
      </xdr:nvSpPr>
      <xdr:spPr bwMode="auto">
        <a:xfrm>
          <a:off x="879894" y="22316536"/>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112</xdr:row>
      <xdr:rowOff>146649</xdr:rowOff>
    </xdr:from>
    <xdr:to>
      <xdr:col>1</xdr:col>
      <xdr:colOff>836762</xdr:colOff>
      <xdr:row>112</xdr:row>
      <xdr:rowOff>155275</xdr:rowOff>
    </xdr:to>
    <xdr:sp macro="" textlink="">
      <xdr:nvSpPr>
        <xdr:cNvPr id="72032" name="Rectangle 352"/>
        <xdr:cNvSpPr>
          <a:spLocks/>
        </xdr:cNvSpPr>
      </xdr:nvSpPr>
      <xdr:spPr bwMode="auto">
        <a:xfrm>
          <a:off x="3079630" y="22316536"/>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149</xdr:row>
      <xdr:rowOff>146649</xdr:rowOff>
    </xdr:from>
    <xdr:to>
      <xdr:col>0</xdr:col>
      <xdr:colOff>431321</xdr:colOff>
      <xdr:row>149</xdr:row>
      <xdr:rowOff>155275</xdr:rowOff>
    </xdr:to>
    <xdr:sp macro="" textlink="">
      <xdr:nvSpPr>
        <xdr:cNvPr id="72033" name="Rectangle 353"/>
        <xdr:cNvSpPr>
          <a:spLocks/>
        </xdr:cNvSpPr>
      </xdr:nvSpPr>
      <xdr:spPr bwMode="auto">
        <a:xfrm>
          <a:off x="414068" y="29657615"/>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149</xdr:row>
      <xdr:rowOff>146649</xdr:rowOff>
    </xdr:from>
    <xdr:to>
      <xdr:col>1</xdr:col>
      <xdr:colOff>569343</xdr:colOff>
      <xdr:row>149</xdr:row>
      <xdr:rowOff>155275</xdr:rowOff>
    </xdr:to>
    <xdr:sp macro="" textlink="">
      <xdr:nvSpPr>
        <xdr:cNvPr id="72034" name="Rectangle 354"/>
        <xdr:cNvSpPr>
          <a:spLocks/>
        </xdr:cNvSpPr>
      </xdr:nvSpPr>
      <xdr:spPr bwMode="auto">
        <a:xfrm>
          <a:off x="2812211" y="29657615"/>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193</xdr:row>
      <xdr:rowOff>146649</xdr:rowOff>
    </xdr:from>
    <xdr:to>
      <xdr:col>0</xdr:col>
      <xdr:colOff>207034</xdr:colOff>
      <xdr:row>193</xdr:row>
      <xdr:rowOff>155275</xdr:rowOff>
    </xdr:to>
    <xdr:sp macro="" textlink="">
      <xdr:nvSpPr>
        <xdr:cNvPr id="72035" name="Rectangle 355"/>
        <xdr:cNvSpPr>
          <a:spLocks/>
        </xdr:cNvSpPr>
      </xdr:nvSpPr>
      <xdr:spPr bwMode="auto">
        <a:xfrm>
          <a:off x="189781" y="38387547"/>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113</xdr:row>
      <xdr:rowOff>146649</xdr:rowOff>
    </xdr:from>
    <xdr:to>
      <xdr:col>0</xdr:col>
      <xdr:colOff>897147</xdr:colOff>
      <xdr:row>113</xdr:row>
      <xdr:rowOff>155275</xdr:rowOff>
    </xdr:to>
    <xdr:sp macro="" textlink="">
      <xdr:nvSpPr>
        <xdr:cNvPr id="72036" name="Rectangle 356"/>
        <xdr:cNvSpPr>
          <a:spLocks/>
        </xdr:cNvSpPr>
      </xdr:nvSpPr>
      <xdr:spPr bwMode="auto">
        <a:xfrm>
          <a:off x="879894" y="22514943"/>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113</xdr:row>
      <xdr:rowOff>146649</xdr:rowOff>
    </xdr:from>
    <xdr:to>
      <xdr:col>1</xdr:col>
      <xdr:colOff>836762</xdr:colOff>
      <xdr:row>113</xdr:row>
      <xdr:rowOff>155275</xdr:rowOff>
    </xdr:to>
    <xdr:sp macro="" textlink="">
      <xdr:nvSpPr>
        <xdr:cNvPr id="72037" name="Rectangle 357"/>
        <xdr:cNvSpPr>
          <a:spLocks/>
        </xdr:cNvSpPr>
      </xdr:nvSpPr>
      <xdr:spPr bwMode="auto">
        <a:xfrm>
          <a:off x="3079630" y="22514943"/>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150</xdr:row>
      <xdr:rowOff>146649</xdr:rowOff>
    </xdr:from>
    <xdr:to>
      <xdr:col>0</xdr:col>
      <xdr:colOff>431321</xdr:colOff>
      <xdr:row>150</xdr:row>
      <xdr:rowOff>155275</xdr:rowOff>
    </xdr:to>
    <xdr:sp macro="" textlink="">
      <xdr:nvSpPr>
        <xdr:cNvPr id="72038" name="Rectangle 358"/>
        <xdr:cNvSpPr>
          <a:spLocks/>
        </xdr:cNvSpPr>
      </xdr:nvSpPr>
      <xdr:spPr bwMode="auto">
        <a:xfrm>
          <a:off x="414068" y="29856023"/>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150</xdr:row>
      <xdr:rowOff>146649</xdr:rowOff>
    </xdr:from>
    <xdr:to>
      <xdr:col>1</xdr:col>
      <xdr:colOff>569343</xdr:colOff>
      <xdr:row>150</xdr:row>
      <xdr:rowOff>155275</xdr:rowOff>
    </xdr:to>
    <xdr:sp macro="" textlink="">
      <xdr:nvSpPr>
        <xdr:cNvPr id="72039" name="Rectangle 359"/>
        <xdr:cNvSpPr>
          <a:spLocks/>
        </xdr:cNvSpPr>
      </xdr:nvSpPr>
      <xdr:spPr bwMode="auto">
        <a:xfrm>
          <a:off x="2812211" y="29856023"/>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194</xdr:row>
      <xdr:rowOff>146649</xdr:rowOff>
    </xdr:from>
    <xdr:to>
      <xdr:col>0</xdr:col>
      <xdr:colOff>207034</xdr:colOff>
      <xdr:row>194</xdr:row>
      <xdr:rowOff>155275</xdr:rowOff>
    </xdr:to>
    <xdr:sp macro="" textlink="">
      <xdr:nvSpPr>
        <xdr:cNvPr id="72040" name="Rectangle 360"/>
        <xdr:cNvSpPr>
          <a:spLocks/>
        </xdr:cNvSpPr>
      </xdr:nvSpPr>
      <xdr:spPr bwMode="auto">
        <a:xfrm>
          <a:off x="189781" y="38585955"/>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114</xdr:row>
      <xdr:rowOff>146649</xdr:rowOff>
    </xdr:from>
    <xdr:to>
      <xdr:col>0</xdr:col>
      <xdr:colOff>897147</xdr:colOff>
      <xdr:row>114</xdr:row>
      <xdr:rowOff>155275</xdr:rowOff>
    </xdr:to>
    <xdr:sp macro="" textlink="">
      <xdr:nvSpPr>
        <xdr:cNvPr id="72041" name="Rectangle 361"/>
        <xdr:cNvSpPr>
          <a:spLocks/>
        </xdr:cNvSpPr>
      </xdr:nvSpPr>
      <xdr:spPr bwMode="auto">
        <a:xfrm>
          <a:off x="879894" y="22713351"/>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114</xdr:row>
      <xdr:rowOff>146649</xdr:rowOff>
    </xdr:from>
    <xdr:to>
      <xdr:col>1</xdr:col>
      <xdr:colOff>836762</xdr:colOff>
      <xdr:row>114</xdr:row>
      <xdr:rowOff>155275</xdr:rowOff>
    </xdr:to>
    <xdr:sp macro="" textlink="">
      <xdr:nvSpPr>
        <xdr:cNvPr id="72042" name="Rectangle 362"/>
        <xdr:cNvSpPr>
          <a:spLocks/>
        </xdr:cNvSpPr>
      </xdr:nvSpPr>
      <xdr:spPr bwMode="auto">
        <a:xfrm>
          <a:off x="3079630" y="22713351"/>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151</xdr:row>
      <xdr:rowOff>146649</xdr:rowOff>
    </xdr:from>
    <xdr:to>
      <xdr:col>0</xdr:col>
      <xdr:colOff>431321</xdr:colOff>
      <xdr:row>151</xdr:row>
      <xdr:rowOff>155275</xdr:rowOff>
    </xdr:to>
    <xdr:sp macro="" textlink="">
      <xdr:nvSpPr>
        <xdr:cNvPr id="72043" name="Rectangle 363"/>
        <xdr:cNvSpPr>
          <a:spLocks/>
        </xdr:cNvSpPr>
      </xdr:nvSpPr>
      <xdr:spPr bwMode="auto">
        <a:xfrm>
          <a:off x="414068" y="30054430"/>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151</xdr:row>
      <xdr:rowOff>51758</xdr:rowOff>
    </xdr:from>
    <xdr:to>
      <xdr:col>1</xdr:col>
      <xdr:colOff>569343</xdr:colOff>
      <xdr:row>151</xdr:row>
      <xdr:rowOff>60385</xdr:rowOff>
    </xdr:to>
    <xdr:sp macro="" textlink="">
      <xdr:nvSpPr>
        <xdr:cNvPr id="72044" name="Rectangle 364"/>
        <xdr:cNvSpPr>
          <a:spLocks/>
        </xdr:cNvSpPr>
      </xdr:nvSpPr>
      <xdr:spPr bwMode="auto">
        <a:xfrm>
          <a:off x="2812211" y="29959540"/>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195</xdr:row>
      <xdr:rowOff>51758</xdr:rowOff>
    </xdr:from>
    <xdr:to>
      <xdr:col>0</xdr:col>
      <xdr:colOff>207034</xdr:colOff>
      <xdr:row>195</xdr:row>
      <xdr:rowOff>60385</xdr:rowOff>
    </xdr:to>
    <xdr:sp macro="" textlink="">
      <xdr:nvSpPr>
        <xdr:cNvPr id="72045" name="Rectangle 365"/>
        <xdr:cNvSpPr>
          <a:spLocks/>
        </xdr:cNvSpPr>
      </xdr:nvSpPr>
      <xdr:spPr bwMode="auto">
        <a:xfrm>
          <a:off x="189781" y="38689472"/>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115</xdr:row>
      <xdr:rowOff>146649</xdr:rowOff>
    </xdr:from>
    <xdr:to>
      <xdr:col>0</xdr:col>
      <xdr:colOff>897147</xdr:colOff>
      <xdr:row>115</xdr:row>
      <xdr:rowOff>155275</xdr:rowOff>
    </xdr:to>
    <xdr:sp macro="" textlink="">
      <xdr:nvSpPr>
        <xdr:cNvPr id="72046" name="Rectangle 366"/>
        <xdr:cNvSpPr>
          <a:spLocks/>
        </xdr:cNvSpPr>
      </xdr:nvSpPr>
      <xdr:spPr bwMode="auto">
        <a:xfrm>
          <a:off x="879894" y="22911758"/>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115</xdr:row>
      <xdr:rowOff>146649</xdr:rowOff>
    </xdr:from>
    <xdr:to>
      <xdr:col>1</xdr:col>
      <xdr:colOff>836762</xdr:colOff>
      <xdr:row>115</xdr:row>
      <xdr:rowOff>155275</xdr:rowOff>
    </xdr:to>
    <xdr:sp macro="" textlink="">
      <xdr:nvSpPr>
        <xdr:cNvPr id="72047" name="Rectangle 367"/>
        <xdr:cNvSpPr>
          <a:spLocks/>
        </xdr:cNvSpPr>
      </xdr:nvSpPr>
      <xdr:spPr bwMode="auto">
        <a:xfrm>
          <a:off x="3079630" y="22911758"/>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152</xdr:row>
      <xdr:rowOff>146649</xdr:rowOff>
    </xdr:from>
    <xdr:to>
      <xdr:col>0</xdr:col>
      <xdr:colOff>431321</xdr:colOff>
      <xdr:row>152</xdr:row>
      <xdr:rowOff>155275</xdr:rowOff>
    </xdr:to>
    <xdr:sp macro="" textlink="">
      <xdr:nvSpPr>
        <xdr:cNvPr id="72048" name="Rectangle 368"/>
        <xdr:cNvSpPr>
          <a:spLocks/>
        </xdr:cNvSpPr>
      </xdr:nvSpPr>
      <xdr:spPr bwMode="auto">
        <a:xfrm>
          <a:off x="414068" y="30252838"/>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152</xdr:row>
      <xdr:rowOff>146649</xdr:rowOff>
    </xdr:from>
    <xdr:to>
      <xdr:col>1</xdr:col>
      <xdr:colOff>569343</xdr:colOff>
      <xdr:row>152</xdr:row>
      <xdr:rowOff>155275</xdr:rowOff>
    </xdr:to>
    <xdr:sp macro="" textlink="">
      <xdr:nvSpPr>
        <xdr:cNvPr id="72049" name="Rectangle 369"/>
        <xdr:cNvSpPr>
          <a:spLocks/>
        </xdr:cNvSpPr>
      </xdr:nvSpPr>
      <xdr:spPr bwMode="auto">
        <a:xfrm>
          <a:off x="2812211" y="30252838"/>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197</xdr:row>
      <xdr:rowOff>146649</xdr:rowOff>
    </xdr:from>
    <xdr:to>
      <xdr:col>0</xdr:col>
      <xdr:colOff>207034</xdr:colOff>
      <xdr:row>197</xdr:row>
      <xdr:rowOff>155275</xdr:rowOff>
    </xdr:to>
    <xdr:sp macro="" textlink="">
      <xdr:nvSpPr>
        <xdr:cNvPr id="72050" name="Rectangle 370"/>
        <xdr:cNvSpPr>
          <a:spLocks/>
        </xdr:cNvSpPr>
      </xdr:nvSpPr>
      <xdr:spPr bwMode="auto">
        <a:xfrm>
          <a:off x="189781" y="39181177"/>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128</xdr:row>
      <xdr:rowOff>146649</xdr:rowOff>
    </xdr:from>
    <xdr:to>
      <xdr:col>0</xdr:col>
      <xdr:colOff>897147</xdr:colOff>
      <xdr:row>128</xdr:row>
      <xdr:rowOff>155275</xdr:rowOff>
    </xdr:to>
    <xdr:sp macro="" textlink="">
      <xdr:nvSpPr>
        <xdr:cNvPr id="72051" name="Rectangle 371"/>
        <xdr:cNvSpPr>
          <a:spLocks/>
        </xdr:cNvSpPr>
      </xdr:nvSpPr>
      <xdr:spPr bwMode="auto">
        <a:xfrm>
          <a:off x="879894" y="25491057"/>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128</xdr:row>
      <xdr:rowOff>146649</xdr:rowOff>
    </xdr:from>
    <xdr:to>
      <xdr:col>1</xdr:col>
      <xdr:colOff>836762</xdr:colOff>
      <xdr:row>128</xdr:row>
      <xdr:rowOff>155275</xdr:rowOff>
    </xdr:to>
    <xdr:sp macro="" textlink="">
      <xdr:nvSpPr>
        <xdr:cNvPr id="72052" name="Rectangle 372"/>
        <xdr:cNvSpPr>
          <a:spLocks/>
        </xdr:cNvSpPr>
      </xdr:nvSpPr>
      <xdr:spPr bwMode="auto">
        <a:xfrm>
          <a:off x="3079630" y="25491057"/>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153</xdr:row>
      <xdr:rowOff>146649</xdr:rowOff>
    </xdr:from>
    <xdr:to>
      <xdr:col>0</xdr:col>
      <xdr:colOff>431321</xdr:colOff>
      <xdr:row>153</xdr:row>
      <xdr:rowOff>155275</xdr:rowOff>
    </xdr:to>
    <xdr:sp macro="" textlink="">
      <xdr:nvSpPr>
        <xdr:cNvPr id="72053" name="Rectangle 373"/>
        <xdr:cNvSpPr>
          <a:spLocks/>
        </xdr:cNvSpPr>
      </xdr:nvSpPr>
      <xdr:spPr bwMode="auto">
        <a:xfrm>
          <a:off x="414068" y="30451245"/>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153</xdr:row>
      <xdr:rowOff>51758</xdr:rowOff>
    </xdr:from>
    <xdr:to>
      <xdr:col>1</xdr:col>
      <xdr:colOff>569343</xdr:colOff>
      <xdr:row>153</xdr:row>
      <xdr:rowOff>60385</xdr:rowOff>
    </xdr:to>
    <xdr:sp macro="" textlink="">
      <xdr:nvSpPr>
        <xdr:cNvPr id="72054" name="Rectangle 374"/>
        <xdr:cNvSpPr>
          <a:spLocks/>
        </xdr:cNvSpPr>
      </xdr:nvSpPr>
      <xdr:spPr bwMode="auto">
        <a:xfrm>
          <a:off x="2812211" y="30356355"/>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198</xdr:row>
      <xdr:rowOff>51758</xdr:rowOff>
    </xdr:from>
    <xdr:to>
      <xdr:col>0</xdr:col>
      <xdr:colOff>207034</xdr:colOff>
      <xdr:row>198</xdr:row>
      <xdr:rowOff>60385</xdr:rowOff>
    </xdr:to>
    <xdr:sp macro="" textlink="">
      <xdr:nvSpPr>
        <xdr:cNvPr id="72055" name="Rectangle 375"/>
        <xdr:cNvSpPr>
          <a:spLocks/>
        </xdr:cNvSpPr>
      </xdr:nvSpPr>
      <xdr:spPr bwMode="auto">
        <a:xfrm>
          <a:off x="189781" y="39284694"/>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127</xdr:row>
      <xdr:rowOff>146649</xdr:rowOff>
    </xdr:from>
    <xdr:to>
      <xdr:col>0</xdr:col>
      <xdr:colOff>897147</xdr:colOff>
      <xdr:row>127</xdr:row>
      <xdr:rowOff>155275</xdr:rowOff>
    </xdr:to>
    <xdr:sp macro="" textlink="">
      <xdr:nvSpPr>
        <xdr:cNvPr id="72056" name="Rectangle 376"/>
        <xdr:cNvSpPr>
          <a:spLocks/>
        </xdr:cNvSpPr>
      </xdr:nvSpPr>
      <xdr:spPr bwMode="auto">
        <a:xfrm>
          <a:off x="879894" y="25292649"/>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127</xdr:row>
      <xdr:rowOff>146649</xdr:rowOff>
    </xdr:from>
    <xdr:to>
      <xdr:col>1</xdr:col>
      <xdr:colOff>836762</xdr:colOff>
      <xdr:row>127</xdr:row>
      <xdr:rowOff>155275</xdr:rowOff>
    </xdr:to>
    <xdr:sp macro="" textlink="">
      <xdr:nvSpPr>
        <xdr:cNvPr id="72057" name="Rectangle 377"/>
        <xdr:cNvSpPr>
          <a:spLocks/>
        </xdr:cNvSpPr>
      </xdr:nvSpPr>
      <xdr:spPr bwMode="auto">
        <a:xfrm>
          <a:off x="3079630" y="25292649"/>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154</xdr:row>
      <xdr:rowOff>146649</xdr:rowOff>
    </xdr:from>
    <xdr:to>
      <xdr:col>0</xdr:col>
      <xdr:colOff>431321</xdr:colOff>
      <xdr:row>154</xdr:row>
      <xdr:rowOff>155275</xdr:rowOff>
    </xdr:to>
    <xdr:sp macro="" textlink="">
      <xdr:nvSpPr>
        <xdr:cNvPr id="72058" name="Rectangle 378"/>
        <xdr:cNvSpPr>
          <a:spLocks/>
        </xdr:cNvSpPr>
      </xdr:nvSpPr>
      <xdr:spPr bwMode="auto">
        <a:xfrm>
          <a:off x="414068" y="30649653"/>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154</xdr:row>
      <xdr:rowOff>0</xdr:rowOff>
    </xdr:from>
    <xdr:to>
      <xdr:col>1</xdr:col>
      <xdr:colOff>569343</xdr:colOff>
      <xdr:row>154</xdr:row>
      <xdr:rowOff>0</xdr:rowOff>
    </xdr:to>
    <xdr:sp macro="" textlink="">
      <xdr:nvSpPr>
        <xdr:cNvPr id="72059" name="Rectangle 379"/>
        <xdr:cNvSpPr>
          <a:spLocks/>
        </xdr:cNvSpPr>
      </xdr:nvSpPr>
      <xdr:spPr bwMode="auto">
        <a:xfrm>
          <a:off x="2812211" y="30503004"/>
          <a:ext cx="8627"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199</xdr:row>
      <xdr:rowOff>129396</xdr:rowOff>
    </xdr:from>
    <xdr:to>
      <xdr:col>0</xdr:col>
      <xdr:colOff>207034</xdr:colOff>
      <xdr:row>199</xdr:row>
      <xdr:rowOff>138023</xdr:rowOff>
    </xdr:to>
    <xdr:sp macro="" textlink="">
      <xdr:nvSpPr>
        <xdr:cNvPr id="72060" name="Rectangle 380"/>
        <xdr:cNvSpPr>
          <a:spLocks/>
        </xdr:cNvSpPr>
      </xdr:nvSpPr>
      <xdr:spPr bwMode="auto">
        <a:xfrm>
          <a:off x="189781" y="39560740"/>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116</xdr:row>
      <xdr:rowOff>146649</xdr:rowOff>
    </xdr:from>
    <xdr:to>
      <xdr:col>0</xdr:col>
      <xdr:colOff>897147</xdr:colOff>
      <xdr:row>116</xdr:row>
      <xdr:rowOff>155275</xdr:rowOff>
    </xdr:to>
    <xdr:sp macro="" textlink="">
      <xdr:nvSpPr>
        <xdr:cNvPr id="72061" name="Rectangle 381"/>
        <xdr:cNvSpPr>
          <a:spLocks/>
        </xdr:cNvSpPr>
      </xdr:nvSpPr>
      <xdr:spPr bwMode="auto">
        <a:xfrm>
          <a:off x="879894" y="23110166"/>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116</xdr:row>
      <xdr:rowOff>146649</xdr:rowOff>
    </xdr:from>
    <xdr:to>
      <xdr:col>1</xdr:col>
      <xdr:colOff>836762</xdr:colOff>
      <xdr:row>116</xdr:row>
      <xdr:rowOff>155275</xdr:rowOff>
    </xdr:to>
    <xdr:sp macro="" textlink="">
      <xdr:nvSpPr>
        <xdr:cNvPr id="72062" name="Rectangle 382"/>
        <xdr:cNvSpPr>
          <a:spLocks/>
        </xdr:cNvSpPr>
      </xdr:nvSpPr>
      <xdr:spPr bwMode="auto">
        <a:xfrm>
          <a:off x="3079630" y="23110166"/>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155</xdr:row>
      <xdr:rowOff>146649</xdr:rowOff>
    </xdr:from>
    <xdr:to>
      <xdr:col>0</xdr:col>
      <xdr:colOff>431321</xdr:colOff>
      <xdr:row>155</xdr:row>
      <xdr:rowOff>155275</xdr:rowOff>
    </xdr:to>
    <xdr:sp macro="" textlink="">
      <xdr:nvSpPr>
        <xdr:cNvPr id="72063" name="Rectangle 383"/>
        <xdr:cNvSpPr>
          <a:spLocks/>
        </xdr:cNvSpPr>
      </xdr:nvSpPr>
      <xdr:spPr bwMode="auto">
        <a:xfrm>
          <a:off x="414068" y="30848060"/>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155</xdr:row>
      <xdr:rowOff>146649</xdr:rowOff>
    </xdr:from>
    <xdr:to>
      <xdr:col>1</xdr:col>
      <xdr:colOff>569343</xdr:colOff>
      <xdr:row>155</xdr:row>
      <xdr:rowOff>155275</xdr:rowOff>
    </xdr:to>
    <xdr:sp macro="" textlink="">
      <xdr:nvSpPr>
        <xdr:cNvPr id="72064" name="Rectangle 384"/>
        <xdr:cNvSpPr>
          <a:spLocks/>
        </xdr:cNvSpPr>
      </xdr:nvSpPr>
      <xdr:spPr bwMode="auto">
        <a:xfrm>
          <a:off x="2812211" y="30848060"/>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202</xdr:row>
      <xdr:rowOff>146649</xdr:rowOff>
    </xdr:from>
    <xdr:to>
      <xdr:col>0</xdr:col>
      <xdr:colOff>207034</xdr:colOff>
      <xdr:row>202</xdr:row>
      <xdr:rowOff>155275</xdr:rowOff>
    </xdr:to>
    <xdr:sp macro="" textlink="">
      <xdr:nvSpPr>
        <xdr:cNvPr id="72065" name="Rectangle 385"/>
        <xdr:cNvSpPr>
          <a:spLocks/>
        </xdr:cNvSpPr>
      </xdr:nvSpPr>
      <xdr:spPr bwMode="auto">
        <a:xfrm>
          <a:off x="189781" y="40173215"/>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117</xdr:row>
      <xdr:rowOff>146649</xdr:rowOff>
    </xdr:from>
    <xdr:to>
      <xdr:col>0</xdr:col>
      <xdr:colOff>897147</xdr:colOff>
      <xdr:row>117</xdr:row>
      <xdr:rowOff>155275</xdr:rowOff>
    </xdr:to>
    <xdr:sp macro="" textlink="">
      <xdr:nvSpPr>
        <xdr:cNvPr id="72066" name="Rectangle 386"/>
        <xdr:cNvSpPr>
          <a:spLocks/>
        </xdr:cNvSpPr>
      </xdr:nvSpPr>
      <xdr:spPr bwMode="auto">
        <a:xfrm>
          <a:off x="879894" y="23308574"/>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117</xdr:row>
      <xdr:rowOff>146649</xdr:rowOff>
    </xdr:from>
    <xdr:to>
      <xdr:col>1</xdr:col>
      <xdr:colOff>836762</xdr:colOff>
      <xdr:row>117</xdr:row>
      <xdr:rowOff>155275</xdr:rowOff>
    </xdr:to>
    <xdr:sp macro="" textlink="">
      <xdr:nvSpPr>
        <xdr:cNvPr id="72067" name="Rectangle 387"/>
        <xdr:cNvSpPr>
          <a:spLocks/>
        </xdr:cNvSpPr>
      </xdr:nvSpPr>
      <xdr:spPr bwMode="auto">
        <a:xfrm>
          <a:off x="3079630" y="23308574"/>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156</xdr:row>
      <xdr:rowOff>146649</xdr:rowOff>
    </xdr:from>
    <xdr:to>
      <xdr:col>0</xdr:col>
      <xdr:colOff>431321</xdr:colOff>
      <xdr:row>156</xdr:row>
      <xdr:rowOff>155275</xdr:rowOff>
    </xdr:to>
    <xdr:sp macro="" textlink="">
      <xdr:nvSpPr>
        <xdr:cNvPr id="72068" name="Rectangle 388"/>
        <xdr:cNvSpPr>
          <a:spLocks/>
        </xdr:cNvSpPr>
      </xdr:nvSpPr>
      <xdr:spPr bwMode="auto">
        <a:xfrm>
          <a:off x="414068" y="31046468"/>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156</xdr:row>
      <xdr:rowOff>146649</xdr:rowOff>
    </xdr:from>
    <xdr:to>
      <xdr:col>1</xdr:col>
      <xdr:colOff>569343</xdr:colOff>
      <xdr:row>156</xdr:row>
      <xdr:rowOff>155275</xdr:rowOff>
    </xdr:to>
    <xdr:sp macro="" textlink="">
      <xdr:nvSpPr>
        <xdr:cNvPr id="72069" name="Rectangle 389"/>
        <xdr:cNvSpPr>
          <a:spLocks/>
        </xdr:cNvSpPr>
      </xdr:nvSpPr>
      <xdr:spPr bwMode="auto">
        <a:xfrm>
          <a:off x="2812211" y="31046468"/>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203</xdr:row>
      <xdr:rowOff>146649</xdr:rowOff>
    </xdr:from>
    <xdr:to>
      <xdr:col>0</xdr:col>
      <xdr:colOff>207034</xdr:colOff>
      <xdr:row>203</xdr:row>
      <xdr:rowOff>155275</xdr:rowOff>
    </xdr:to>
    <xdr:sp macro="" textlink="">
      <xdr:nvSpPr>
        <xdr:cNvPr id="72070" name="Rectangle 390"/>
        <xdr:cNvSpPr>
          <a:spLocks/>
        </xdr:cNvSpPr>
      </xdr:nvSpPr>
      <xdr:spPr bwMode="auto">
        <a:xfrm>
          <a:off x="189781" y="40371623"/>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118</xdr:row>
      <xdr:rowOff>146649</xdr:rowOff>
    </xdr:from>
    <xdr:to>
      <xdr:col>0</xdr:col>
      <xdr:colOff>897147</xdr:colOff>
      <xdr:row>118</xdr:row>
      <xdr:rowOff>155275</xdr:rowOff>
    </xdr:to>
    <xdr:sp macro="" textlink="">
      <xdr:nvSpPr>
        <xdr:cNvPr id="72071" name="Rectangle 391"/>
        <xdr:cNvSpPr>
          <a:spLocks/>
        </xdr:cNvSpPr>
      </xdr:nvSpPr>
      <xdr:spPr bwMode="auto">
        <a:xfrm>
          <a:off x="879894" y="23506981"/>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118</xdr:row>
      <xdr:rowOff>146649</xdr:rowOff>
    </xdr:from>
    <xdr:to>
      <xdr:col>1</xdr:col>
      <xdr:colOff>836762</xdr:colOff>
      <xdr:row>118</xdr:row>
      <xdr:rowOff>155275</xdr:rowOff>
    </xdr:to>
    <xdr:sp macro="" textlink="">
      <xdr:nvSpPr>
        <xdr:cNvPr id="72072" name="Rectangle 392"/>
        <xdr:cNvSpPr>
          <a:spLocks/>
        </xdr:cNvSpPr>
      </xdr:nvSpPr>
      <xdr:spPr bwMode="auto">
        <a:xfrm>
          <a:off x="3079630" y="23506981"/>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159</xdr:row>
      <xdr:rowOff>146649</xdr:rowOff>
    </xdr:from>
    <xdr:to>
      <xdr:col>0</xdr:col>
      <xdr:colOff>431321</xdr:colOff>
      <xdr:row>159</xdr:row>
      <xdr:rowOff>155275</xdr:rowOff>
    </xdr:to>
    <xdr:sp macro="" textlink="">
      <xdr:nvSpPr>
        <xdr:cNvPr id="72073" name="Rectangle 393"/>
        <xdr:cNvSpPr>
          <a:spLocks/>
        </xdr:cNvSpPr>
      </xdr:nvSpPr>
      <xdr:spPr bwMode="auto">
        <a:xfrm>
          <a:off x="414068" y="31641691"/>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159</xdr:row>
      <xdr:rowOff>146649</xdr:rowOff>
    </xdr:from>
    <xdr:to>
      <xdr:col>1</xdr:col>
      <xdr:colOff>569343</xdr:colOff>
      <xdr:row>159</xdr:row>
      <xdr:rowOff>155275</xdr:rowOff>
    </xdr:to>
    <xdr:sp macro="" textlink="">
      <xdr:nvSpPr>
        <xdr:cNvPr id="72074" name="Rectangle 394"/>
        <xdr:cNvSpPr>
          <a:spLocks/>
        </xdr:cNvSpPr>
      </xdr:nvSpPr>
      <xdr:spPr bwMode="auto">
        <a:xfrm>
          <a:off x="2812211" y="31641691"/>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204</xdr:row>
      <xdr:rowOff>146649</xdr:rowOff>
    </xdr:from>
    <xdr:to>
      <xdr:col>0</xdr:col>
      <xdr:colOff>207034</xdr:colOff>
      <xdr:row>204</xdr:row>
      <xdr:rowOff>155275</xdr:rowOff>
    </xdr:to>
    <xdr:sp macro="" textlink="">
      <xdr:nvSpPr>
        <xdr:cNvPr id="72075" name="Rectangle 395"/>
        <xdr:cNvSpPr>
          <a:spLocks/>
        </xdr:cNvSpPr>
      </xdr:nvSpPr>
      <xdr:spPr bwMode="auto">
        <a:xfrm>
          <a:off x="189781" y="40570030"/>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119</xdr:row>
      <xdr:rowOff>146649</xdr:rowOff>
    </xdr:from>
    <xdr:to>
      <xdr:col>0</xdr:col>
      <xdr:colOff>897147</xdr:colOff>
      <xdr:row>119</xdr:row>
      <xdr:rowOff>155275</xdr:rowOff>
    </xdr:to>
    <xdr:sp macro="" textlink="">
      <xdr:nvSpPr>
        <xdr:cNvPr id="72076" name="Rectangle 396"/>
        <xdr:cNvSpPr>
          <a:spLocks/>
        </xdr:cNvSpPr>
      </xdr:nvSpPr>
      <xdr:spPr bwMode="auto">
        <a:xfrm>
          <a:off x="879894" y="23705389"/>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119</xdr:row>
      <xdr:rowOff>146649</xdr:rowOff>
    </xdr:from>
    <xdr:to>
      <xdr:col>1</xdr:col>
      <xdr:colOff>836762</xdr:colOff>
      <xdr:row>119</xdr:row>
      <xdr:rowOff>155275</xdr:rowOff>
    </xdr:to>
    <xdr:sp macro="" textlink="">
      <xdr:nvSpPr>
        <xdr:cNvPr id="72077" name="Rectangle 397"/>
        <xdr:cNvSpPr>
          <a:spLocks/>
        </xdr:cNvSpPr>
      </xdr:nvSpPr>
      <xdr:spPr bwMode="auto">
        <a:xfrm>
          <a:off x="3079630" y="23705389"/>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161</xdr:row>
      <xdr:rowOff>146649</xdr:rowOff>
    </xdr:from>
    <xdr:to>
      <xdr:col>0</xdr:col>
      <xdr:colOff>431321</xdr:colOff>
      <xdr:row>161</xdr:row>
      <xdr:rowOff>155275</xdr:rowOff>
    </xdr:to>
    <xdr:sp macro="" textlink="">
      <xdr:nvSpPr>
        <xdr:cNvPr id="72078" name="Rectangle 398"/>
        <xdr:cNvSpPr>
          <a:spLocks/>
        </xdr:cNvSpPr>
      </xdr:nvSpPr>
      <xdr:spPr bwMode="auto">
        <a:xfrm>
          <a:off x="414068" y="32038506"/>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161</xdr:row>
      <xdr:rowOff>51758</xdr:rowOff>
    </xdr:from>
    <xdr:to>
      <xdr:col>1</xdr:col>
      <xdr:colOff>569343</xdr:colOff>
      <xdr:row>161</xdr:row>
      <xdr:rowOff>60385</xdr:rowOff>
    </xdr:to>
    <xdr:sp macro="" textlink="">
      <xdr:nvSpPr>
        <xdr:cNvPr id="72079" name="Rectangle 399"/>
        <xdr:cNvSpPr>
          <a:spLocks/>
        </xdr:cNvSpPr>
      </xdr:nvSpPr>
      <xdr:spPr bwMode="auto">
        <a:xfrm>
          <a:off x="2812211" y="31943615"/>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205</xdr:row>
      <xdr:rowOff>51758</xdr:rowOff>
    </xdr:from>
    <xdr:to>
      <xdr:col>0</xdr:col>
      <xdr:colOff>207034</xdr:colOff>
      <xdr:row>205</xdr:row>
      <xdr:rowOff>60385</xdr:rowOff>
    </xdr:to>
    <xdr:sp macro="" textlink="">
      <xdr:nvSpPr>
        <xdr:cNvPr id="72080" name="Rectangle 400"/>
        <xdr:cNvSpPr>
          <a:spLocks/>
        </xdr:cNvSpPr>
      </xdr:nvSpPr>
      <xdr:spPr bwMode="auto">
        <a:xfrm>
          <a:off x="189781" y="40673547"/>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120</xdr:row>
      <xdr:rowOff>146649</xdr:rowOff>
    </xdr:from>
    <xdr:to>
      <xdr:col>0</xdr:col>
      <xdr:colOff>897147</xdr:colOff>
      <xdr:row>120</xdr:row>
      <xdr:rowOff>155275</xdr:rowOff>
    </xdr:to>
    <xdr:sp macro="" textlink="">
      <xdr:nvSpPr>
        <xdr:cNvPr id="72081" name="Rectangle 401"/>
        <xdr:cNvSpPr>
          <a:spLocks/>
        </xdr:cNvSpPr>
      </xdr:nvSpPr>
      <xdr:spPr bwMode="auto">
        <a:xfrm>
          <a:off x="879894" y="23903796"/>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120</xdr:row>
      <xdr:rowOff>146649</xdr:rowOff>
    </xdr:from>
    <xdr:to>
      <xdr:col>1</xdr:col>
      <xdr:colOff>836762</xdr:colOff>
      <xdr:row>120</xdr:row>
      <xdr:rowOff>155275</xdr:rowOff>
    </xdr:to>
    <xdr:sp macro="" textlink="">
      <xdr:nvSpPr>
        <xdr:cNvPr id="72082" name="Rectangle 402"/>
        <xdr:cNvSpPr>
          <a:spLocks/>
        </xdr:cNvSpPr>
      </xdr:nvSpPr>
      <xdr:spPr bwMode="auto">
        <a:xfrm>
          <a:off x="3079630" y="23903796"/>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162</xdr:row>
      <xdr:rowOff>146649</xdr:rowOff>
    </xdr:from>
    <xdr:to>
      <xdr:col>0</xdr:col>
      <xdr:colOff>431321</xdr:colOff>
      <xdr:row>162</xdr:row>
      <xdr:rowOff>155275</xdr:rowOff>
    </xdr:to>
    <xdr:sp macro="" textlink="">
      <xdr:nvSpPr>
        <xdr:cNvPr id="72083" name="Rectangle 403"/>
        <xdr:cNvSpPr>
          <a:spLocks/>
        </xdr:cNvSpPr>
      </xdr:nvSpPr>
      <xdr:spPr bwMode="auto">
        <a:xfrm>
          <a:off x="414068" y="32236913"/>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162</xdr:row>
      <xdr:rowOff>146649</xdr:rowOff>
    </xdr:from>
    <xdr:to>
      <xdr:col>1</xdr:col>
      <xdr:colOff>569343</xdr:colOff>
      <xdr:row>162</xdr:row>
      <xdr:rowOff>155275</xdr:rowOff>
    </xdr:to>
    <xdr:sp macro="" textlink="">
      <xdr:nvSpPr>
        <xdr:cNvPr id="72084" name="Rectangle 404"/>
        <xdr:cNvSpPr>
          <a:spLocks/>
        </xdr:cNvSpPr>
      </xdr:nvSpPr>
      <xdr:spPr bwMode="auto">
        <a:xfrm>
          <a:off x="2812211" y="32236913"/>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208</xdr:row>
      <xdr:rowOff>146649</xdr:rowOff>
    </xdr:from>
    <xdr:to>
      <xdr:col>0</xdr:col>
      <xdr:colOff>207034</xdr:colOff>
      <xdr:row>208</xdr:row>
      <xdr:rowOff>155275</xdr:rowOff>
    </xdr:to>
    <xdr:sp macro="" textlink="">
      <xdr:nvSpPr>
        <xdr:cNvPr id="72085" name="Rectangle 405"/>
        <xdr:cNvSpPr>
          <a:spLocks/>
        </xdr:cNvSpPr>
      </xdr:nvSpPr>
      <xdr:spPr bwMode="auto">
        <a:xfrm>
          <a:off x="189781" y="41363660"/>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123</xdr:row>
      <xdr:rowOff>146649</xdr:rowOff>
    </xdr:from>
    <xdr:to>
      <xdr:col>0</xdr:col>
      <xdr:colOff>897147</xdr:colOff>
      <xdr:row>123</xdr:row>
      <xdr:rowOff>155275</xdr:rowOff>
    </xdr:to>
    <xdr:sp macro="" textlink="">
      <xdr:nvSpPr>
        <xdr:cNvPr id="72086" name="Rectangle 406"/>
        <xdr:cNvSpPr>
          <a:spLocks/>
        </xdr:cNvSpPr>
      </xdr:nvSpPr>
      <xdr:spPr bwMode="auto">
        <a:xfrm>
          <a:off x="879894" y="24499019"/>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123</xdr:row>
      <xdr:rowOff>146649</xdr:rowOff>
    </xdr:from>
    <xdr:to>
      <xdr:col>1</xdr:col>
      <xdr:colOff>836762</xdr:colOff>
      <xdr:row>123</xdr:row>
      <xdr:rowOff>155275</xdr:rowOff>
    </xdr:to>
    <xdr:sp macro="" textlink="">
      <xdr:nvSpPr>
        <xdr:cNvPr id="72087" name="Rectangle 407"/>
        <xdr:cNvSpPr>
          <a:spLocks/>
        </xdr:cNvSpPr>
      </xdr:nvSpPr>
      <xdr:spPr bwMode="auto">
        <a:xfrm>
          <a:off x="3079630" y="24499019"/>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165</xdr:row>
      <xdr:rowOff>146649</xdr:rowOff>
    </xdr:from>
    <xdr:to>
      <xdr:col>0</xdr:col>
      <xdr:colOff>431321</xdr:colOff>
      <xdr:row>165</xdr:row>
      <xdr:rowOff>155275</xdr:rowOff>
    </xdr:to>
    <xdr:sp macro="" textlink="">
      <xdr:nvSpPr>
        <xdr:cNvPr id="72088" name="Rectangle 408"/>
        <xdr:cNvSpPr>
          <a:spLocks/>
        </xdr:cNvSpPr>
      </xdr:nvSpPr>
      <xdr:spPr bwMode="auto">
        <a:xfrm>
          <a:off x="414068" y="32832136"/>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165</xdr:row>
      <xdr:rowOff>146649</xdr:rowOff>
    </xdr:from>
    <xdr:to>
      <xdr:col>1</xdr:col>
      <xdr:colOff>569343</xdr:colOff>
      <xdr:row>165</xdr:row>
      <xdr:rowOff>155275</xdr:rowOff>
    </xdr:to>
    <xdr:sp macro="" textlink="">
      <xdr:nvSpPr>
        <xdr:cNvPr id="72089" name="Rectangle 409"/>
        <xdr:cNvSpPr>
          <a:spLocks/>
        </xdr:cNvSpPr>
      </xdr:nvSpPr>
      <xdr:spPr bwMode="auto">
        <a:xfrm>
          <a:off x="2812211" y="32832136"/>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209</xdr:row>
      <xdr:rowOff>146649</xdr:rowOff>
    </xdr:from>
    <xdr:to>
      <xdr:col>0</xdr:col>
      <xdr:colOff>207034</xdr:colOff>
      <xdr:row>209</xdr:row>
      <xdr:rowOff>155275</xdr:rowOff>
    </xdr:to>
    <xdr:sp macro="" textlink="">
      <xdr:nvSpPr>
        <xdr:cNvPr id="72090" name="Rectangle 410"/>
        <xdr:cNvSpPr>
          <a:spLocks/>
        </xdr:cNvSpPr>
      </xdr:nvSpPr>
      <xdr:spPr bwMode="auto">
        <a:xfrm>
          <a:off x="189781" y="41562068"/>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124</xdr:row>
      <xdr:rowOff>146649</xdr:rowOff>
    </xdr:from>
    <xdr:to>
      <xdr:col>0</xdr:col>
      <xdr:colOff>897147</xdr:colOff>
      <xdr:row>124</xdr:row>
      <xdr:rowOff>155275</xdr:rowOff>
    </xdr:to>
    <xdr:sp macro="" textlink="">
      <xdr:nvSpPr>
        <xdr:cNvPr id="72091" name="Rectangle 411"/>
        <xdr:cNvSpPr>
          <a:spLocks/>
        </xdr:cNvSpPr>
      </xdr:nvSpPr>
      <xdr:spPr bwMode="auto">
        <a:xfrm>
          <a:off x="879894" y="24697426"/>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124</xdr:row>
      <xdr:rowOff>146649</xdr:rowOff>
    </xdr:from>
    <xdr:to>
      <xdr:col>1</xdr:col>
      <xdr:colOff>836762</xdr:colOff>
      <xdr:row>124</xdr:row>
      <xdr:rowOff>155275</xdr:rowOff>
    </xdr:to>
    <xdr:sp macro="" textlink="">
      <xdr:nvSpPr>
        <xdr:cNvPr id="72092" name="Rectangle 412"/>
        <xdr:cNvSpPr>
          <a:spLocks/>
        </xdr:cNvSpPr>
      </xdr:nvSpPr>
      <xdr:spPr bwMode="auto">
        <a:xfrm>
          <a:off x="3079630" y="24697426"/>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166</xdr:row>
      <xdr:rowOff>146649</xdr:rowOff>
    </xdr:from>
    <xdr:to>
      <xdr:col>0</xdr:col>
      <xdr:colOff>431321</xdr:colOff>
      <xdr:row>166</xdr:row>
      <xdr:rowOff>155275</xdr:rowOff>
    </xdr:to>
    <xdr:sp macro="" textlink="">
      <xdr:nvSpPr>
        <xdr:cNvPr id="72093" name="Rectangle 413"/>
        <xdr:cNvSpPr>
          <a:spLocks/>
        </xdr:cNvSpPr>
      </xdr:nvSpPr>
      <xdr:spPr bwMode="auto">
        <a:xfrm>
          <a:off x="414068" y="33030543"/>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167</xdr:row>
      <xdr:rowOff>146649</xdr:rowOff>
    </xdr:from>
    <xdr:to>
      <xdr:col>1</xdr:col>
      <xdr:colOff>569343</xdr:colOff>
      <xdr:row>167</xdr:row>
      <xdr:rowOff>155275</xdr:rowOff>
    </xdr:to>
    <xdr:sp macro="" textlink="">
      <xdr:nvSpPr>
        <xdr:cNvPr id="72094" name="Rectangle 414"/>
        <xdr:cNvSpPr>
          <a:spLocks/>
        </xdr:cNvSpPr>
      </xdr:nvSpPr>
      <xdr:spPr bwMode="auto">
        <a:xfrm>
          <a:off x="2812211" y="33228951"/>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210</xdr:row>
      <xdr:rowOff>146649</xdr:rowOff>
    </xdr:from>
    <xdr:to>
      <xdr:col>0</xdr:col>
      <xdr:colOff>207034</xdr:colOff>
      <xdr:row>210</xdr:row>
      <xdr:rowOff>155275</xdr:rowOff>
    </xdr:to>
    <xdr:sp macro="" textlink="">
      <xdr:nvSpPr>
        <xdr:cNvPr id="72095" name="Rectangle 415"/>
        <xdr:cNvSpPr>
          <a:spLocks/>
        </xdr:cNvSpPr>
      </xdr:nvSpPr>
      <xdr:spPr bwMode="auto">
        <a:xfrm>
          <a:off x="189781" y="41760475"/>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125</xdr:row>
      <xdr:rowOff>146649</xdr:rowOff>
    </xdr:from>
    <xdr:to>
      <xdr:col>0</xdr:col>
      <xdr:colOff>897147</xdr:colOff>
      <xdr:row>125</xdr:row>
      <xdr:rowOff>155275</xdr:rowOff>
    </xdr:to>
    <xdr:sp macro="" textlink="">
      <xdr:nvSpPr>
        <xdr:cNvPr id="72096" name="Rectangle 416"/>
        <xdr:cNvSpPr>
          <a:spLocks/>
        </xdr:cNvSpPr>
      </xdr:nvSpPr>
      <xdr:spPr bwMode="auto">
        <a:xfrm>
          <a:off x="879894" y="24895834"/>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125</xdr:row>
      <xdr:rowOff>146649</xdr:rowOff>
    </xdr:from>
    <xdr:to>
      <xdr:col>1</xdr:col>
      <xdr:colOff>836762</xdr:colOff>
      <xdr:row>125</xdr:row>
      <xdr:rowOff>155275</xdr:rowOff>
    </xdr:to>
    <xdr:sp macro="" textlink="">
      <xdr:nvSpPr>
        <xdr:cNvPr id="72097" name="Rectangle 417"/>
        <xdr:cNvSpPr>
          <a:spLocks/>
        </xdr:cNvSpPr>
      </xdr:nvSpPr>
      <xdr:spPr bwMode="auto">
        <a:xfrm>
          <a:off x="3079630" y="24895834"/>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168</xdr:row>
      <xdr:rowOff>146649</xdr:rowOff>
    </xdr:from>
    <xdr:to>
      <xdr:col>0</xdr:col>
      <xdr:colOff>431321</xdr:colOff>
      <xdr:row>168</xdr:row>
      <xdr:rowOff>155275</xdr:rowOff>
    </xdr:to>
    <xdr:sp macro="" textlink="">
      <xdr:nvSpPr>
        <xdr:cNvPr id="72098" name="Rectangle 418"/>
        <xdr:cNvSpPr>
          <a:spLocks/>
        </xdr:cNvSpPr>
      </xdr:nvSpPr>
      <xdr:spPr bwMode="auto">
        <a:xfrm>
          <a:off x="414068" y="33427358"/>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168</xdr:row>
      <xdr:rowOff>146649</xdr:rowOff>
    </xdr:from>
    <xdr:to>
      <xdr:col>1</xdr:col>
      <xdr:colOff>569343</xdr:colOff>
      <xdr:row>168</xdr:row>
      <xdr:rowOff>155275</xdr:rowOff>
    </xdr:to>
    <xdr:sp macro="" textlink="">
      <xdr:nvSpPr>
        <xdr:cNvPr id="72099" name="Rectangle 419"/>
        <xdr:cNvSpPr>
          <a:spLocks/>
        </xdr:cNvSpPr>
      </xdr:nvSpPr>
      <xdr:spPr bwMode="auto">
        <a:xfrm>
          <a:off x="2812211" y="33427358"/>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211</xdr:row>
      <xdr:rowOff>146649</xdr:rowOff>
    </xdr:from>
    <xdr:to>
      <xdr:col>0</xdr:col>
      <xdr:colOff>207034</xdr:colOff>
      <xdr:row>211</xdr:row>
      <xdr:rowOff>155275</xdr:rowOff>
    </xdr:to>
    <xdr:sp macro="" textlink="">
      <xdr:nvSpPr>
        <xdr:cNvPr id="72100" name="Rectangle 420"/>
        <xdr:cNvSpPr>
          <a:spLocks/>
        </xdr:cNvSpPr>
      </xdr:nvSpPr>
      <xdr:spPr bwMode="auto">
        <a:xfrm>
          <a:off x="189781" y="41958883"/>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126</xdr:row>
      <xdr:rowOff>146649</xdr:rowOff>
    </xdr:from>
    <xdr:to>
      <xdr:col>0</xdr:col>
      <xdr:colOff>897147</xdr:colOff>
      <xdr:row>126</xdr:row>
      <xdr:rowOff>155275</xdr:rowOff>
    </xdr:to>
    <xdr:sp macro="" textlink="">
      <xdr:nvSpPr>
        <xdr:cNvPr id="72101" name="Rectangle 421"/>
        <xdr:cNvSpPr>
          <a:spLocks/>
        </xdr:cNvSpPr>
      </xdr:nvSpPr>
      <xdr:spPr bwMode="auto">
        <a:xfrm>
          <a:off x="879894" y="25094242"/>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126</xdr:row>
      <xdr:rowOff>146649</xdr:rowOff>
    </xdr:from>
    <xdr:to>
      <xdr:col>1</xdr:col>
      <xdr:colOff>836762</xdr:colOff>
      <xdr:row>126</xdr:row>
      <xdr:rowOff>155275</xdr:rowOff>
    </xdr:to>
    <xdr:sp macro="" textlink="">
      <xdr:nvSpPr>
        <xdr:cNvPr id="72102" name="Rectangle 422"/>
        <xdr:cNvSpPr>
          <a:spLocks/>
        </xdr:cNvSpPr>
      </xdr:nvSpPr>
      <xdr:spPr bwMode="auto">
        <a:xfrm>
          <a:off x="3079630" y="25094242"/>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169</xdr:row>
      <xdr:rowOff>146649</xdr:rowOff>
    </xdr:from>
    <xdr:to>
      <xdr:col>0</xdr:col>
      <xdr:colOff>431321</xdr:colOff>
      <xdr:row>169</xdr:row>
      <xdr:rowOff>155275</xdr:rowOff>
    </xdr:to>
    <xdr:sp macro="" textlink="">
      <xdr:nvSpPr>
        <xdr:cNvPr id="72103" name="Rectangle 423"/>
        <xdr:cNvSpPr>
          <a:spLocks/>
        </xdr:cNvSpPr>
      </xdr:nvSpPr>
      <xdr:spPr bwMode="auto">
        <a:xfrm>
          <a:off x="414068" y="33625766"/>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169</xdr:row>
      <xdr:rowOff>146649</xdr:rowOff>
    </xdr:from>
    <xdr:to>
      <xdr:col>1</xdr:col>
      <xdr:colOff>569343</xdr:colOff>
      <xdr:row>169</xdr:row>
      <xdr:rowOff>155275</xdr:rowOff>
    </xdr:to>
    <xdr:sp macro="" textlink="">
      <xdr:nvSpPr>
        <xdr:cNvPr id="72104" name="Rectangle 424"/>
        <xdr:cNvSpPr>
          <a:spLocks/>
        </xdr:cNvSpPr>
      </xdr:nvSpPr>
      <xdr:spPr bwMode="auto">
        <a:xfrm>
          <a:off x="2812211" y="33625766"/>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212</xdr:row>
      <xdr:rowOff>146649</xdr:rowOff>
    </xdr:from>
    <xdr:to>
      <xdr:col>0</xdr:col>
      <xdr:colOff>207034</xdr:colOff>
      <xdr:row>212</xdr:row>
      <xdr:rowOff>155275</xdr:rowOff>
    </xdr:to>
    <xdr:sp macro="" textlink="">
      <xdr:nvSpPr>
        <xdr:cNvPr id="72105" name="Rectangle 425"/>
        <xdr:cNvSpPr>
          <a:spLocks/>
        </xdr:cNvSpPr>
      </xdr:nvSpPr>
      <xdr:spPr bwMode="auto">
        <a:xfrm>
          <a:off x="189781" y="42157291"/>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129</xdr:row>
      <xdr:rowOff>146649</xdr:rowOff>
    </xdr:from>
    <xdr:to>
      <xdr:col>0</xdr:col>
      <xdr:colOff>897147</xdr:colOff>
      <xdr:row>129</xdr:row>
      <xdr:rowOff>155275</xdr:rowOff>
    </xdr:to>
    <xdr:sp macro="" textlink="">
      <xdr:nvSpPr>
        <xdr:cNvPr id="72106" name="Rectangle 426"/>
        <xdr:cNvSpPr>
          <a:spLocks/>
        </xdr:cNvSpPr>
      </xdr:nvSpPr>
      <xdr:spPr bwMode="auto">
        <a:xfrm>
          <a:off x="879894" y="25689464"/>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129</xdr:row>
      <xdr:rowOff>146649</xdr:rowOff>
    </xdr:from>
    <xdr:to>
      <xdr:col>1</xdr:col>
      <xdr:colOff>836762</xdr:colOff>
      <xdr:row>129</xdr:row>
      <xdr:rowOff>155275</xdr:rowOff>
    </xdr:to>
    <xdr:sp macro="" textlink="">
      <xdr:nvSpPr>
        <xdr:cNvPr id="72107" name="Rectangle 427"/>
        <xdr:cNvSpPr>
          <a:spLocks/>
        </xdr:cNvSpPr>
      </xdr:nvSpPr>
      <xdr:spPr bwMode="auto">
        <a:xfrm>
          <a:off x="3079630" y="25689464"/>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170</xdr:row>
      <xdr:rowOff>146649</xdr:rowOff>
    </xdr:from>
    <xdr:to>
      <xdr:col>0</xdr:col>
      <xdr:colOff>431321</xdr:colOff>
      <xdr:row>170</xdr:row>
      <xdr:rowOff>155275</xdr:rowOff>
    </xdr:to>
    <xdr:sp macro="" textlink="">
      <xdr:nvSpPr>
        <xdr:cNvPr id="72108" name="Rectangle 428"/>
        <xdr:cNvSpPr>
          <a:spLocks/>
        </xdr:cNvSpPr>
      </xdr:nvSpPr>
      <xdr:spPr bwMode="auto">
        <a:xfrm>
          <a:off x="414068" y="33824174"/>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170</xdr:row>
      <xdr:rowOff>146649</xdr:rowOff>
    </xdr:from>
    <xdr:to>
      <xdr:col>1</xdr:col>
      <xdr:colOff>569343</xdr:colOff>
      <xdr:row>170</xdr:row>
      <xdr:rowOff>155275</xdr:rowOff>
    </xdr:to>
    <xdr:sp macro="" textlink="">
      <xdr:nvSpPr>
        <xdr:cNvPr id="72109" name="Rectangle 429"/>
        <xdr:cNvSpPr>
          <a:spLocks/>
        </xdr:cNvSpPr>
      </xdr:nvSpPr>
      <xdr:spPr bwMode="auto">
        <a:xfrm>
          <a:off x="2812211" y="33824174"/>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213</xdr:row>
      <xdr:rowOff>146649</xdr:rowOff>
    </xdr:from>
    <xdr:to>
      <xdr:col>0</xdr:col>
      <xdr:colOff>207034</xdr:colOff>
      <xdr:row>213</xdr:row>
      <xdr:rowOff>155275</xdr:rowOff>
    </xdr:to>
    <xdr:sp macro="" textlink="">
      <xdr:nvSpPr>
        <xdr:cNvPr id="72110" name="Rectangle 430"/>
        <xdr:cNvSpPr>
          <a:spLocks/>
        </xdr:cNvSpPr>
      </xdr:nvSpPr>
      <xdr:spPr bwMode="auto">
        <a:xfrm>
          <a:off x="189781" y="42355698"/>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130</xdr:row>
      <xdr:rowOff>146649</xdr:rowOff>
    </xdr:from>
    <xdr:to>
      <xdr:col>0</xdr:col>
      <xdr:colOff>897147</xdr:colOff>
      <xdr:row>131</xdr:row>
      <xdr:rowOff>0</xdr:rowOff>
    </xdr:to>
    <xdr:sp macro="" textlink="">
      <xdr:nvSpPr>
        <xdr:cNvPr id="72111" name="Rectangle 431"/>
        <xdr:cNvSpPr>
          <a:spLocks/>
        </xdr:cNvSpPr>
      </xdr:nvSpPr>
      <xdr:spPr bwMode="auto">
        <a:xfrm>
          <a:off x="879894" y="25887872"/>
          <a:ext cx="17253" cy="517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130</xdr:row>
      <xdr:rowOff>146649</xdr:rowOff>
    </xdr:from>
    <xdr:to>
      <xdr:col>0</xdr:col>
      <xdr:colOff>897147</xdr:colOff>
      <xdr:row>131</xdr:row>
      <xdr:rowOff>0</xdr:rowOff>
    </xdr:to>
    <xdr:sp macro="" textlink="">
      <xdr:nvSpPr>
        <xdr:cNvPr id="72112" name="Rectangle 432"/>
        <xdr:cNvSpPr>
          <a:spLocks/>
        </xdr:cNvSpPr>
      </xdr:nvSpPr>
      <xdr:spPr bwMode="auto">
        <a:xfrm>
          <a:off x="879894" y="25887872"/>
          <a:ext cx="17253" cy="517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130</xdr:row>
      <xdr:rowOff>146649</xdr:rowOff>
    </xdr:from>
    <xdr:to>
      <xdr:col>1</xdr:col>
      <xdr:colOff>854015</xdr:colOff>
      <xdr:row>131</xdr:row>
      <xdr:rowOff>0</xdr:rowOff>
    </xdr:to>
    <xdr:sp macro="" textlink="">
      <xdr:nvSpPr>
        <xdr:cNvPr id="72113" name="Rectangle 433"/>
        <xdr:cNvSpPr>
          <a:spLocks/>
        </xdr:cNvSpPr>
      </xdr:nvSpPr>
      <xdr:spPr bwMode="auto">
        <a:xfrm>
          <a:off x="3079630" y="25887872"/>
          <a:ext cx="25879" cy="517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171</xdr:row>
      <xdr:rowOff>146649</xdr:rowOff>
    </xdr:from>
    <xdr:to>
      <xdr:col>0</xdr:col>
      <xdr:colOff>431321</xdr:colOff>
      <xdr:row>172</xdr:row>
      <xdr:rowOff>0</xdr:rowOff>
    </xdr:to>
    <xdr:sp macro="" textlink="">
      <xdr:nvSpPr>
        <xdr:cNvPr id="72114" name="Rectangle 434"/>
        <xdr:cNvSpPr>
          <a:spLocks/>
        </xdr:cNvSpPr>
      </xdr:nvSpPr>
      <xdr:spPr bwMode="auto">
        <a:xfrm>
          <a:off x="414068" y="34022581"/>
          <a:ext cx="17253" cy="5175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214</xdr:row>
      <xdr:rowOff>146649</xdr:rowOff>
    </xdr:from>
    <xdr:to>
      <xdr:col>0</xdr:col>
      <xdr:colOff>207034</xdr:colOff>
      <xdr:row>215</xdr:row>
      <xdr:rowOff>0</xdr:rowOff>
    </xdr:to>
    <xdr:sp macro="" textlink="">
      <xdr:nvSpPr>
        <xdr:cNvPr id="72116" name="Rectangle 436"/>
        <xdr:cNvSpPr>
          <a:spLocks/>
        </xdr:cNvSpPr>
      </xdr:nvSpPr>
      <xdr:spPr bwMode="auto">
        <a:xfrm>
          <a:off x="189781" y="42554106"/>
          <a:ext cx="17253" cy="517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91</xdr:row>
      <xdr:rowOff>146649</xdr:rowOff>
    </xdr:from>
    <xdr:to>
      <xdr:col>0</xdr:col>
      <xdr:colOff>897147</xdr:colOff>
      <xdr:row>91</xdr:row>
      <xdr:rowOff>155275</xdr:rowOff>
    </xdr:to>
    <xdr:sp macro="" textlink="">
      <xdr:nvSpPr>
        <xdr:cNvPr id="72117" name="Rectangle 437"/>
        <xdr:cNvSpPr>
          <a:spLocks/>
        </xdr:cNvSpPr>
      </xdr:nvSpPr>
      <xdr:spPr bwMode="auto">
        <a:xfrm>
          <a:off x="879894" y="18149977"/>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94</xdr:row>
      <xdr:rowOff>146649</xdr:rowOff>
    </xdr:from>
    <xdr:to>
      <xdr:col>0</xdr:col>
      <xdr:colOff>897147</xdr:colOff>
      <xdr:row>94</xdr:row>
      <xdr:rowOff>155275</xdr:rowOff>
    </xdr:to>
    <xdr:sp macro="" textlink="">
      <xdr:nvSpPr>
        <xdr:cNvPr id="72118" name="Rectangle 438"/>
        <xdr:cNvSpPr>
          <a:spLocks/>
        </xdr:cNvSpPr>
      </xdr:nvSpPr>
      <xdr:spPr bwMode="auto">
        <a:xfrm>
          <a:off x="879894" y="18745200"/>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206</xdr:row>
      <xdr:rowOff>51758</xdr:rowOff>
    </xdr:from>
    <xdr:to>
      <xdr:col>0</xdr:col>
      <xdr:colOff>207034</xdr:colOff>
      <xdr:row>206</xdr:row>
      <xdr:rowOff>60385</xdr:rowOff>
    </xdr:to>
    <xdr:sp macro="" textlink="">
      <xdr:nvSpPr>
        <xdr:cNvPr id="72119" name="Rectangle 439"/>
        <xdr:cNvSpPr>
          <a:spLocks/>
        </xdr:cNvSpPr>
      </xdr:nvSpPr>
      <xdr:spPr bwMode="auto">
        <a:xfrm>
          <a:off x="189781" y="40871955"/>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207</xdr:row>
      <xdr:rowOff>51758</xdr:rowOff>
    </xdr:from>
    <xdr:to>
      <xdr:col>0</xdr:col>
      <xdr:colOff>207034</xdr:colOff>
      <xdr:row>207</xdr:row>
      <xdr:rowOff>60385</xdr:rowOff>
    </xdr:to>
    <xdr:sp macro="" textlink="">
      <xdr:nvSpPr>
        <xdr:cNvPr id="72120" name="Rectangle 440"/>
        <xdr:cNvSpPr>
          <a:spLocks/>
        </xdr:cNvSpPr>
      </xdr:nvSpPr>
      <xdr:spPr bwMode="auto">
        <a:xfrm>
          <a:off x="189781" y="41070362"/>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199</xdr:row>
      <xdr:rowOff>51758</xdr:rowOff>
    </xdr:from>
    <xdr:to>
      <xdr:col>0</xdr:col>
      <xdr:colOff>207034</xdr:colOff>
      <xdr:row>199</xdr:row>
      <xdr:rowOff>60385</xdr:rowOff>
    </xdr:to>
    <xdr:sp macro="" textlink="">
      <xdr:nvSpPr>
        <xdr:cNvPr id="72121" name="Rectangle 441"/>
        <xdr:cNvSpPr>
          <a:spLocks/>
        </xdr:cNvSpPr>
      </xdr:nvSpPr>
      <xdr:spPr bwMode="auto">
        <a:xfrm>
          <a:off x="189781" y="39483102"/>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196</xdr:row>
      <xdr:rowOff>51758</xdr:rowOff>
    </xdr:from>
    <xdr:to>
      <xdr:col>0</xdr:col>
      <xdr:colOff>207034</xdr:colOff>
      <xdr:row>196</xdr:row>
      <xdr:rowOff>60385</xdr:rowOff>
    </xdr:to>
    <xdr:sp macro="" textlink="">
      <xdr:nvSpPr>
        <xdr:cNvPr id="72122" name="Rectangle 442"/>
        <xdr:cNvSpPr>
          <a:spLocks/>
        </xdr:cNvSpPr>
      </xdr:nvSpPr>
      <xdr:spPr bwMode="auto">
        <a:xfrm>
          <a:off x="189781" y="38887879"/>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186</xdr:row>
      <xdr:rowOff>51758</xdr:rowOff>
    </xdr:from>
    <xdr:to>
      <xdr:col>0</xdr:col>
      <xdr:colOff>207034</xdr:colOff>
      <xdr:row>186</xdr:row>
      <xdr:rowOff>60385</xdr:rowOff>
    </xdr:to>
    <xdr:sp macro="" textlink="">
      <xdr:nvSpPr>
        <xdr:cNvPr id="72123" name="Rectangle 443"/>
        <xdr:cNvSpPr>
          <a:spLocks/>
        </xdr:cNvSpPr>
      </xdr:nvSpPr>
      <xdr:spPr bwMode="auto">
        <a:xfrm>
          <a:off x="189781" y="36903804"/>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181</xdr:row>
      <xdr:rowOff>51758</xdr:rowOff>
    </xdr:from>
    <xdr:to>
      <xdr:col>0</xdr:col>
      <xdr:colOff>207034</xdr:colOff>
      <xdr:row>181</xdr:row>
      <xdr:rowOff>60385</xdr:rowOff>
    </xdr:to>
    <xdr:sp macro="" textlink="">
      <xdr:nvSpPr>
        <xdr:cNvPr id="72124" name="Rectangle 444"/>
        <xdr:cNvSpPr>
          <a:spLocks/>
        </xdr:cNvSpPr>
      </xdr:nvSpPr>
      <xdr:spPr bwMode="auto">
        <a:xfrm>
          <a:off x="189781" y="35911766"/>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175</xdr:row>
      <xdr:rowOff>51758</xdr:rowOff>
    </xdr:from>
    <xdr:to>
      <xdr:col>0</xdr:col>
      <xdr:colOff>207034</xdr:colOff>
      <xdr:row>175</xdr:row>
      <xdr:rowOff>60385</xdr:rowOff>
    </xdr:to>
    <xdr:sp macro="" textlink="">
      <xdr:nvSpPr>
        <xdr:cNvPr id="72125" name="Rectangle 445"/>
        <xdr:cNvSpPr>
          <a:spLocks/>
        </xdr:cNvSpPr>
      </xdr:nvSpPr>
      <xdr:spPr bwMode="auto">
        <a:xfrm>
          <a:off x="189781" y="34721321"/>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167</xdr:row>
      <xdr:rowOff>146649</xdr:rowOff>
    </xdr:from>
    <xdr:to>
      <xdr:col>0</xdr:col>
      <xdr:colOff>431321</xdr:colOff>
      <xdr:row>167</xdr:row>
      <xdr:rowOff>155275</xdr:rowOff>
    </xdr:to>
    <xdr:sp macro="" textlink="">
      <xdr:nvSpPr>
        <xdr:cNvPr id="72126" name="Rectangle 446"/>
        <xdr:cNvSpPr>
          <a:spLocks/>
        </xdr:cNvSpPr>
      </xdr:nvSpPr>
      <xdr:spPr bwMode="auto">
        <a:xfrm>
          <a:off x="414068" y="33228951"/>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166</xdr:row>
      <xdr:rowOff>146649</xdr:rowOff>
    </xdr:from>
    <xdr:to>
      <xdr:col>1</xdr:col>
      <xdr:colOff>569343</xdr:colOff>
      <xdr:row>166</xdr:row>
      <xdr:rowOff>155275</xdr:rowOff>
    </xdr:to>
    <xdr:sp macro="" textlink="">
      <xdr:nvSpPr>
        <xdr:cNvPr id="72127" name="Rectangle 447"/>
        <xdr:cNvSpPr>
          <a:spLocks/>
        </xdr:cNvSpPr>
      </xdr:nvSpPr>
      <xdr:spPr bwMode="auto">
        <a:xfrm>
          <a:off x="2812211" y="33030543"/>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163</xdr:row>
      <xdr:rowOff>146649</xdr:rowOff>
    </xdr:from>
    <xdr:to>
      <xdr:col>0</xdr:col>
      <xdr:colOff>431321</xdr:colOff>
      <xdr:row>163</xdr:row>
      <xdr:rowOff>155275</xdr:rowOff>
    </xdr:to>
    <xdr:sp macro="" textlink="">
      <xdr:nvSpPr>
        <xdr:cNvPr id="72128" name="Rectangle 448"/>
        <xdr:cNvSpPr>
          <a:spLocks/>
        </xdr:cNvSpPr>
      </xdr:nvSpPr>
      <xdr:spPr bwMode="auto">
        <a:xfrm>
          <a:off x="414068" y="32435321"/>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163</xdr:row>
      <xdr:rowOff>146649</xdr:rowOff>
    </xdr:from>
    <xdr:to>
      <xdr:col>1</xdr:col>
      <xdr:colOff>569343</xdr:colOff>
      <xdr:row>163</xdr:row>
      <xdr:rowOff>155275</xdr:rowOff>
    </xdr:to>
    <xdr:sp macro="" textlink="">
      <xdr:nvSpPr>
        <xdr:cNvPr id="72129" name="Rectangle 449"/>
        <xdr:cNvSpPr>
          <a:spLocks/>
        </xdr:cNvSpPr>
      </xdr:nvSpPr>
      <xdr:spPr bwMode="auto">
        <a:xfrm>
          <a:off x="2812211" y="32435321"/>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164</xdr:row>
      <xdr:rowOff>146649</xdr:rowOff>
    </xdr:from>
    <xdr:to>
      <xdr:col>0</xdr:col>
      <xdr:colOff>431321</xdr:colOff>
      <xdr:row>164</xdr:row>
      <xdr:rowOff>155275</xdr:rowOff>
    </xdr:to>
    <xdr:sp macro="" textlink="">
      <xdr:nvSpPr>
        <xdr:cNvPr id="72130" name="Rectangle 450"/>
        <xdr:cNvSpPr>
          <a:spLocks/>
        </xdr:cNvSpPr>
      </xdr:nvSpPr>
      <xdr:spPr bwMode="auto">
        <a:xfrm>
          <a:off x="414068" y="32633728"/>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164</xdr:row>
      <xdr:rowOff>146649</xdr:rowOff>
    </xdr:from>
    <xdr:to>
      <xdr:col>1</xdr:col>
      <xdr:colOff>569343</xdr:colOff>
      <xdr:row>164</xdr:row>
      <xdr:rowOff>155275</xdr:rowOff>
    </xdr:to>
    <xdr:sp macro="" textlink="">
      <xdr:nvSpPr>
        <xdr:cNvPr id="72131" name="Rectangle 451"/>
        <xdr:cNvSpPr>
          <a:spLocks/>
        </xdr:cNvSpPr>
      </xdr:nvSpPr>
      <xdr:spPr bwMode="auto">
        <a:xfrm>
          <a:off x="2812211" y="32633728"/>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156</xdr:row>
      <xdr:rowOff>146649</xdr:rowOff>
    </xdr:from>
    <xdr:to>
      <xdr:col>1</xdr:col>
      <xdr:colOff>569343</xdr:colOff>
      <xdr:row>156</xdr:row>
      <xdr:rowOff>155275</xdr:rowOff>
    </xdr:to>
    <xdr:sp macro="" textlink="">
      <xdr:nvSpPr>
        <xdr:cNvPr id="72132" name="Rectangle 452"/>
        <xdr:cNvSpPr>
          <a:spLocks/>
        </xdr:cNvSpPr>
      </xdr:nvSpPr>
      <xdr:spPr bwMode="auto">
        <a:xfrm>
          <a:off x="2812211" y="31046468"/>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157</xdr:row>
      <xdr:rowOff>146649</xdr:rowOff>
    </xdr:from>
    <xdr:to>
      <xdr:col>1</xdr:col>
      <xdr:colOff>569343</xdr:colOff>
      <xdr:row>157</xdr:row>
      <xdr:rowOff>155275</xdr:rowOff>
    </xdr:to>
    <xdr:sp macro="" textlink="">
      <xdr:nvSpPr>
        <xdr:cNvPr id="72133" name="Rectangle 453"/>
        <xdr:cNvSpPr>
          <a:spLocks/>
        </xdr:cNvSpPr>
      </xdr:nvSpPr>
      <xdr:spPr bwMode="auto">
        <a:xfrm>
          <a:off x="2812211" y="31244875"/>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158</xdr:row>
      <xdr:rowOff>146649</xdr:rowOff>
    </xdr:from>
    <xdr:to>
      <xdr:col>1</xdr:col>
      <xdr:colOff>569343</xdr:colOff>
      <xdr:row>158</xdr:row>
      <xdr:rowOff>155275</xdr:rowOff>
    </xdr:to>
    <xdr:sp macro="" textlink="">
      <xdr:nvSpPr>
        <xdr:cNvPr id="72134" name="Rectangle 454"/>
        <xdr:cNvSpPr>
          <a:spLocks/>
        </xdr:cNvSpPr>
      </xdr:nvSpPr>
      <xdr:spPr bwMode="auto">
        <a:xfrm>
          <a:off x="2812211" y="31443283"/>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157</xdr:row>
      <xdr:rowOff>146649</xdr:rowOff>
    </xdr:from>
    <xdr:to>
      <xdr:col>0</xdr:col>
      <xdr:colOff>431321</xdr:colOff>
      <xdr:row>157</xdr:row>
      <xdr:rowOff>155275</xdr:rowOff>
    </xdr:to>
    <xdr:sp macro="" textlink="">
      <xdr:nvSpPr>
        <xdr:cNvPr id="72135" name="Rectangle 455"/>
        <xdr:cNvSpPr>
          <a:spLocks/>
        </xdr:cNvSpPr>
      </xdr:nvSpPr>
      <xdr:spPr bwMode="auto">
        <a:xfrm>
          <a:off x="414068" y="31244875"/>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158</xdr:row>
      <xdr:rowOff>146649</xdr:rowOff>
    </xdr:from>
    <xdr:to>
      <xdr:col>0</xdr:col>
      <xdr:colOff>431321</xdr:colOff>
      <xdr:row>158</xdr:row>
      <xdr:rowOff>155275</xdr:rowOff>
    </xdr:to>
    <xdr:sp macro="" textlink="">
      <xdr:nvSpPr>
        <xdr:cNvPr id="72136" name="Rectangle 456"/>
        <xdr:cNvSpPr>
          <a:spLocks/>
        </xdr:cNvSpPr>
      </xdr:nvSpPr>
      <xdr:spPr bwMode="auto">
        <a:xfrm>
          <a:off x="414068" y="31443283"/>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160</xdr:row>
      <xdr:rowOff>146649</xdr:rowOff>
    </xdr:from>
    <xdr:to>
      <xdr:col>0</xdr:col>
      <xdr:colOff>431321</xdr:colOff>
      <xdr:row>160</xdr:row>
      <xdr:rowOff>155275</xdr:rowOff>
    </xdr:to>
    <xdr:sp macro="" textlink="">
      <xdr:nvSpPr>
        <xdr:cNvPr id="72137" name="Rectangle 457"/>
        <xdr:cNvSpPr>
          <a:spLocks/>
        </xdr:cNvSpPr>
      </xdr:nvSpPr>
      <xdr:spPr bwMode="auto">
        <a:xfrm>
          <a:off x="414068" y="31840098"/>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160</xdr:row>
      <xdr:rowOff>146649</xdr:rowOff>
    </xdr:from>
    <xdr:to>
      <xdr:col>1</xdr:col>
      <xdr:colOff>569343</xdr:colOff>
      <xdr:row>160</xdr:row>
      <xdr:rowOff>155275</xdr:rowOff>
    </xdr:to>
    <xdr:sp macro="" textlink="">
      <xdr:nvSpPr>
        <xdr:cNvPr id="72138" name="Rectangle 458"/>
        <xdr:cNvSpPr>
          <a:spLocks/>
        </xdr:cNvSpPr>
      </xdr:nvSpPr>
      <xdr:spPr bwMode="auto">
        <a:xfrm>
          <a:off x="2812211" y="31840098"/>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141</xdr:row>
      <xdr:rowOff>146649</xdr:rowOff>
    </xdr:from>
    <xdr:to>
      <xdr:col>0</xdr:col>
      <xdr:colOff>431321</xdr:colOff>
      <xdr:row>141</xdr:row>
      <xdr:rowOff>155275</xdr:rowOff>
    </xdr:to>
    <xdr:sp macro="" textlink="">
      <xdr:nvSpPr>
        <xdr:cNvPr id="72139" name="Rectangle 459"/>
        <xdr:cNvSpPr>
          <a:spLocks/>
        </xdr:cNvSpPr>
      </xdr:nvSpPr>
      <xdr:spPr bwMode="auto">
        <a:xfrm>
          <a:off x="414068" y="28070355"/>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414068</xdr:colOff>
      <xdr:row>135</xdr:row>
      <xdr:rowOff>146649</xdr:rowOff>
    </xdr:from>
    <xdr:to>
      <xdr:col>0</xdr:col>
      <xdr:colOff>431321</xdr:colOff>
      <xdr:row>135</xdr:row>
      <xdr:rowOff>155275</xdr:rowOff>
    </xdr:to>
    <xdr:sp macro="" textlink="">
      <xdr:nvSpPr>
        <xdr:cNvPr id="72140" name="Rectangle 460"/>
        <xdr:cNvSpPr>
          <a:spLocks/>
        </xdr:cNvSpPr>
      </xdr:nvSpPr>
      <xdr:spPr bwMode="auto">
        <a:xfrm>
          <a:off x="414068" y="26879909"/>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560717</xdr:colOff>
      <xdr:row>135</xdr:row>
      <xdr:rowOff>51758</xdr:rowOff>
    </xdr:from>
    <xdr:to>
      <xdr:col>1</xdr:col>
      <xdr:colOff>569343</xdr:colOff>
      <xdr:row>135</xdr:row>
      <xdr:rowOff>60385</xdr:rowOff>
    </xdr:to>
    <xdr:sp macro="" textlink="">
      <xdr:nvSpPr>
        <xdr:cNvPr id="72141" name="Rectangle 461"/>
        <xdr:cNvSpPr>
          <a:spLocks/>
        </xdr:cNvSpPr>
      </xdr:nvSpPr>
      <xdr:spPr bwMode="auto">
        <a:xfrm>
          <a:off x="2812211" y="26785019"/>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131</xdr:row>
      <xdr:rowOff>146649</xdr:rowOff>
    </xdr:from>
    <xdr:to>
      <xdr:col>0</xdr:col>
      <xdr:colOff>897147</xdr:colOff>
      <xdr:row>132</xdr:row>
      <xdr:rowOff>0</xdr:rowOff>
    </xdr:to>
    <xdr:sp macro="" textlink="">
      <xdr:nvSpPr>
        <xdr:cNvPr id="72142" name="Rectangle 462"/>
        <xdr:cNvSpPr>
          <a:spLocks/>
        </xdr:cNvSpPr>
      </xdr:nvSpPr>
      <xdr:spPr bwMode="auto">
        <a:xfrm>
          <a:off x="879894" y="26086279"/>
          <a:ext cx="17253" cy="5175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131</xdr:row>
      <xdr:rowOff>146649</xdr:rowOff>
    </xdr:from>
    <xdr:to>
      <xdr:col>0</xdr:col>
      <xdr:colOff>897147</xdr:colOff>
      <xdr:row>132</xdr:row>
      <xdr:rowOff>0</xdr:rowOff>
    </xdr:to>
    <xdr:sp macro="" textlink="">
      <xdr:nvSpPr>
        <xdr:cNvPr id="72143" name="Rectangle 463"/>
        <xdr:cNvSpPr>
          <a:spLocks/>
        </xdr:cNvSpPr>
      </xdr:nvSpPr>
      <xdr:spPr bwMode="auto">
        <a:xfrm>
          <a:off x="879894" y="26086279"/>
          <a:ext cx="17253" cy="5175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131</xdr:row>
      <xdr:rowOff>146649</xdr:rowOff>
    </xdr:from>
    <xdr:to>
      <xdr:col>1</xdr:col>
      <xdr:colOff>854015</xdr:colOff>
      <xdr:row>132</xdr:row>
      <xdr:rowOff>0</xdr:rowOff>
    </xdr:to>
    <xdr:sp macro="" textlink="">
      <xdr:nvSpPr>
        <xdr:cNvPr id="72144" name="Rectangle 464"/>
        <xdr:cNvSpPr>
          <a:spLocks/>
        </xdr:cNvSpPr>
      </xdr:nvSpPr>
      <xdr:spPr bwMode="auto">
        <a:xfrm>
          <a:off x="3079630" y="26086279"/>
          <a:ext cx="25879" cy="5175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121</xdr:row>
      <xdr:rowOff>146649</xdr:rowOff>
    </xdr:from>
    <xdr:to>
      <xdr:col>0</xdr:col>
      <xdr:colOff>897147</xdr:colOff>
      <xdr:row>121</xdr:row>
      <xdr:rowOff>155275</xdr:rowOff>
    </xdr:to>
    <xdr:sp macro="" textlink="">
      <xdr:nvSpPr>
        <xdr:cNvPr id="72145" name="Rectangle 465"/>
        <xdr:cNvSpPr>
          <a:spLocks/>
        </xdr:cNvSpPr>
      </xdr:nvSpPr>
      <xdr:spPr bwMode="auto">
        <a:xfrm>
          <a:off x="879894" y="24102204"/>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121</xdr:row>
      <xdr:rowOff>146649</xdr:rowOff>
    </xdr:from>
    <xdr:to>
      <xdr:col>1</xdr:col>
      <xdr:colOff>836762</xdr:colOff>
      <xdr:row>121</xdr:row>
      <xdr:rowOff>155275</xdr:rowOff>
    </xdr:to>
    <xdr:sp macro="" textlink="">
      <xdr:nvSpPr>
        <xdr:cNvPr id="72146" name="Rectangle 466"/>
        <xdr:cNvSpPr>
          <a:spLocks/>
        </xdr:cNvSpPr>
      </xdr:nvSpPr>
      <xdr:spPr bwMode="auto">
        <a:xfrm>
          <a:off x="3079630" y="24102204"/>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122</xdr:row>
      <xdr:rowOff>146649</xdr:rowOff>
    </xdr:from>
    <xdr:to>
      <xdr:col>0</xdr:col>
      <xdr:colOff>897147</xdr:colOff>
      <xdr:row>122</xdr:row>
      <xdr:rowOff>155275</xdr:rowOff>
    </xdr:to>
    <xdr:sp macro="" textlink="">
      <xdr:nvSpPr>
        <xdr:cNvPr id="72147" name="Rectangle 467"/>
        <xdr:cNvSpPr>
          <a:spLocks/>
        </xdr:cNvSpPr>
      </xdr:nvSpPr>
      <xdr:spPr bwMode="auto">
        <a:xfrm>
          <a:off x="879894" y="24300611"/>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122</xdr:row>
      <xdr:rowOff>146649</xdr:rowOff>
    </xdr:from>
    <xdr:to>
      <xdr:col>1</xdr:col>
      <xdr:colOff>836762</xdr:colOff>
      <xdr:row>122</xdr:row>
      <xdr:rowOff>155275</xdr:rowOff>
    </xdr:to>
    <xdr:sp macro="" textlink="">
      <xdr:nvSpPr>
        <xdr:cNvPr id="72148" name="Rectangle 468"/>
        <xdr:cNvSpPr>
          <a:spLocks/>
        </xdr:cNvSpPr>
      </xdr:nvSpPr>
      <xdr:spPr bwMode="auto">
        <a:xfrm>
          <a:off x="3079630" y="24300611"/>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107</xdr:row>
      <xdr:rowOff>146649</xdr:rowOff>
    </xdr:from>
    <xdr:to>
      <xdr:col>0</xdr:col>
      <xdr:colOff>897147</xdr:colOff>
      <xdr:row>107</xdr:row>
      <xdr:rowOff>155275</xdr:rowOff>
    </xdr:to>
    <xdr:sp macro="" textlink="">
      <xdr:nvSpPr>
        <xdr:cNvPr id="72149" name="Rectangle 469"/>
        <xdr:cNvSpPr>
          <a:spLocks/>
        </xdr:cNvSpPr>
      </xdr:nvSpPr>
      <xdr:spPr bwMode="auto">
        <a:xfrm>
          <a:off x="879894" y="21324498"/>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107</xdr:row>
      <xdr:rowOff>146649</xdr:rowOff>
    </xdr:from>
    <xdr:to>
      <xdr:col>1</xdr:col>
      <xdr:colOff>836762</xdr:colOff>
      <xdr:row>107</xdr:row>
      <xdr:rowOff>155275</xdr:rowOff>
    </xdr:to>
    <xdr:sp macro="" textlink="">
      <xdr:nvSpPr>
        <xdr:cNvPr id="72150" name="Rectangle 470"/>
        <xdr:cNvSpPr>
          <a:spLocks/>
        </xdr:cNvSpPr>
      </xdr:nvSpPr>
      <xdr:spPr bwMode="auto">
        <a:xfrm>
          <a:off x="3079630" y="21324498"/>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104</xdr:row>
      <xdr:rowOff>146649</xdr:rowOff>
    </xdr:from>
    <xdr:to>
      <xdr:col>0</xdr:col>
      <xdr:colOff>897147</xdr:colOff>
      <xdr:row>104</xdr:row>
      <xdr:rowOff>155275</xdr:rowOff>
    </xdr:to>
    <xdr:sp macro="" textlink="">
      <xdr:nvSpPr>
        <xdr:cNvPr id="72151" name="Rectangle 471"/>
        <xdr:cNvSpPr>
          <a:spLocks/>
        </xdr:cNvSpPr>
      </xdr:nvSpPr>
      <xdr:spPr bwMode="auto">
        <a:xfrm>
          <a:off x="879894" y="20729275"/>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104</xdr:row>
      <xdr:rowOff>146649</xdr:rowOff>
    </xdr:from>
    <xdr:to>
      <xdr:col>1</xdr:col>
      <xdr:colOff>836762</xdr:colOff>
      <xdr:row>104</xdr:row>
      <xdr:rowOff>155275</xdr:rowOff>
    </xdr:to>
    <xdr:sp macro="" textlink="">
      <xdr:nvSpPr>
        <xdr:cNvPr id="72152" name="Rectangle 472"/>
        <xdr:cNvSpPr>
          <a:spLocks/>
        </xdr:cNvSpPr>
      </xdr:nvSpPr>
      <xdr:spPr bwMode="auto">
        <a:xfrm>
          <a:off x="3079630" y="20729275"/>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102</xdr:row>
      <xdr:rowOff>146649</xdr:rowOff>
    </xdr:from>
    <xdr:to>
      <xdr:col>0</xdr:col>
      <xdr:colOff>897147</xdr:colOff>
      <xdr:row>102</xdr:row>
      <xdr:rowOff>155275</xdr:rowOff>
    </xdr:to>
    <xdr:sp macro="" textlink="">
      <xdr:nvSpPr>
        <xdr:cNvPr id="72153" name="Rectangle 473"/>
        <xdr:cNvSpPr>
          <a:spLocks/>
        </xdr:cNvSpPr>
      </xdr:nvSpPr>
      <xdr:spPr bwMode="auto">
        <a:xfrm>
          <a:off x="879894" y="20332460"/>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102</xdr:row>
      <xdr:rowOff>146649</xdr:rowOff>
    </xdr:from>
    <xdr:to>
      <xdr:col>1</xdr:col>
      <xdr:colOff>836762</xdr:colOff>
      <xdr:row>102</xdr:row>
      <xdr:rowOff>155275</xdr:rowOff>
    </xdr:to>
    <xdr:sp macro="" textlink="">
      <xdr:nvSpPr>
        <xdr:cNvPr id="72154" name="Rectangle 474"/>
        <xdr:cNvSpPr>
          <a:spLocks/>
        </xdr:cNvSpPr>
      </xdr:nvSpPr>
      <xdr:spPr bwMode="auto">
        <a:xfrm>
          <a:off x="3079630" y="20332460"/>
          <a:ext cx="8627"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879894</xdr:colOff>
      <xdr:row>99</xdr:row>
      <xdr:rowOff>146649</xdr:rowOff>
    </xdr:from>
    <xdr:to>
      <xdr:col>0</xdr:col>
      <xdr:colOff>897147</xdr:colOff>
      <xdr:row>99</xdr:row>
      <xdr:rowOff>155275</xdr:rowOff>
    </xdr:to>
    <xdr:sp macro="" textlink="">
      <xdr:nvSpPr>
        <xdr:cNvPr id="72155" name="Rectangle 475"/>
        <xdr:cNvSpPr>
          <a:spLocks/>
        </xdr:cNvSpPr>
      </xdr:nvSpPr>
      <xdr:spPr bwMode="auto">
        <a:xfrm>
          <a:off x="879894" y="19737238"/>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828136</xdr:colOff>
      <xdr:row>99</xdr:row>
      <xdr:rowOff>146649</xdr:rowOff>
    </xdr:from>
    <xdr:to>
      <xdr:col>1</xdr:col>
      <xdr:colOff>836762</xdr:colOff>
      <xdr:row>99</xdr:row>
      <xdr:rowOff>155275</xdr:rowOff>
    </xdr:to>
    <xdr:sp macro="" textlink="">
      <xdr:nvSpPr>
        <xdr:cNvPr id="72156" name="Rectangle 476"/>
        <xdr:cNvSpPr>
          <a:spLocks/>
        </xdr:cNvSpPr>
      </xdr:nvSpPr>
      <xdr:spPr bwMode="auto">
        <a:xfrm>
          <a:off x="3079630" y="19737238"/>
          <a:ext cx="8627"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206</xdr:row>
      <xdr:rowOff>51758</xdr:rowOff>
    </xdr:from>
    <xdr:to>
      <xdr:col>0</xdr:col>
      <xdr:colOff>207034</xdr:colOff>
      <xdr:row>206</xdr:row>
      <xdr:rowOff>60385</xdr:rowOff>
    </xdr:to>
    <xdr:sp macro="" textlink="">
      <xdr:nvSpPr>
        <xdr:cNvPr id="72157" name="Rectangle 477"/>
        <xdr:cNvSpPr>
          <a:spLocks/>
        </xdr:cNvSpPr>
      </xdr:nvSpPr>
      <xdr:spPr bwMode="auto">
        <a:xfrm>
          <a:off x="189781" y="40871955"/>
          <a:ext cx="17253" cy="86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189781</xdr:colOff>
      <xdr:row>207</xdr:row>
      <xdr:rowOff>51758</xdr:rowOff>
    </xdr:from>
    <xdr:to>
      <xdr:col>0</xdr:col>
      <xdr:colOff>207034</xdr:colOff>
      <xdr:row>207</xdr:row>
      <xdr:rowOff>60385</xdr:rowOff>
    </xdr:to>
    <xdr:sp macro="" textlink="">
      <xdr:nvSpPr>
        <xdr:cNvPr id="72158" name="Rectangle 478"/>
        <xdr:cNvSpPr>
          <a:spLocks/>
        </xdr:cNvSpPr>
      </xdr:nvSpPr>
      <xdr:spPr bwMode="auto">
        <a:xfrm>
          <a:off x="189781" y="41070362"/>
          <a:ext cx="17253" cy="86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0</xdr:col>
          <xdr:colOff>2242868</xdr:colOff>
          <xdr:row>7</xdr:row>
          <xdr:rowOff>0</xdr:rowOff>
        </xdr:to>
        <xdr:sp macro="" textlink="">
          <xdr:nvSpPr>
            <xdr:cNvPr id="72159" name="Drop Down 479" hidden="1">
              <a:extLst>
                <a:ext uri="{63B3BB69-23CF-44E3-9099-C40C66FF867C}">
                  <a14:compatExt spid="_x0000_s72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2242868</xdr:colOff>
          <xdr:row>12</xdr:row>
          <xdr:rowOff>0</xdr:rowOff>
        </xdr:to>
        <xdr:sp macro="" textlink="">
          <xdr:nvSpPr>
            <xdr:cNvPr id="72162" name="Scroll Bar 482" hidden="1">
              <a:extLst>
                <a:ext uri="{63B3BB69-23CF-44E3-9099-C40C66FF867C}">
                  <a14:compatExt spid="_x0000_s72162"/>
                </a:ext>
              </a:extLst>
            </xdr:cNvPr>
            <xdr:cNvSpPr/>
          </xdr:nvSpPr>
          <xdr:spPr>
            <a:xfrm>
              <a:off x="0" y="0"/>
              <a:ext cx="0" cy="0"/>
            </a:xfrm>
            <a:prstGeom prst="rect">
              <a:avLst/>
            </a:prstGeom>
          </xdr:spPr>
        </xdr:sp>
        <xdr:clientData/>
      </xdr:twoCellAnchor>
    </mc:Choice>
    <mc:Fallback/>
  </mc:AlternateContent>
  <xdr:twoCellAnchor>
    <xdr:from>
      <xdr:col>0</xdr:col>
      <xdr:colOff>77638</xdr:colOff>
      <xdr:row>15</xdr:row>
      <xdr:rowOff>43132</xdr:rowOff>
    </xdr:from>
    <xdr:to>
      <xdr:col>0</xdr:col>
      <xdr:colOff>845389</xdr:colOff>
      <xdr:row>19</xdr:row>
      <xdr:rowOff>112143</xdr:rowOff>
    </xdr:to>
    <xdr:pic>
      <xdr:nvPicPr>
        <xdr:cNvPr id="72175" name="Picture 49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7638" y="3019245"/>
          <a:ext cx="767751" cy="862642"/>
        </a:xfrm>
        <a:prstGeom prst="rect">
          <a:avLst/>
        </a:prstGeom>
        <a:noFill/>
        <a:ln w="9525">
          <a:solidFill>
            <a:srgbClr xmlns:mc="http://schemas.openxmlformats.org/markup-compatibility/2006" xmlns:a14="http://schemas.microsoft.com/office/drawing/2010/main" val="FF6600" mc:Ignorable="a14" a14:legacySpreadsheetColorIndex="5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60385</xdr:colOff>
      <xdr:row>19</xdr:row>
      <xdr:rowOff>146649</xdr:rowOff>
    </xdr:from>
    <xdr:to>
      <xdr:col>0</xdr:col>
      <xdr:colOff>862642</xdr:colOff>
      <xdr:row>22</xdr:row>
      <xdr:rowOff>138023</xdr:rowOff>
    </xdr:to>
    <xdr:pic>
      <xdr:nvPicPr>
        <xdr:cNvPr id="72176" name="Picture 49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85" y="3916392"/>
          <a:ext cx="802257" cy="586597"/>
        </a:xfrm>
        <a:prstGeom prst="rect">
          <a:avLst/>
        </a:prstGeom>
        <a:noFill/>
        <a:ln w="9525">
          <a:solidFill>
            <a:srgbClr xmlns:mc="http://schemas.openxmlformats.org/markup-compatibility/2006" xmlns:a14="http://schemas.microsoft.com/office/drawing/2010/main" val="0000FF" mc:Ignorable="a14" a14:legacySpreadsheetColorIndex="12"/>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905774</xdr:colOff>
      <xdr:row>15</xdr:row>
      <xdr:rowOff>43132</xdr:rowOff>
    </xdr:from>
    <xdr:to>
      <xdr:col>0</xdr:col>
      <xdr:colOff>2242868</xdr:colOff>
      <xdr:row>20</xdr:row>
      <xdr:rowOff>181155</xdr:rowOff>
    </xdr:to>
    <xdr:pic>
      <xdr:nvPicPr>
        <xdr:cNvPr id="72179" name="Picture 4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5774" y="3019245"/>
          <a:ext cx="1337094" cy="1130061"/>
        </a:xfrm>
        <a:prstGeom prst="rect">
          <a:avLst/>
        </a:prstGeom>
        <a:noFill/>
        <a:ln w="9525">
          <a:solidFill>
            <a:srgbClr xmlns:mc="http://schemas.openxmlformats.org/markup-compatibility/2006" xmlns:a14="http://schemas.microsoft.com/office/drawing/2010/main" val="FF6600" mc:Ignorable="a14" a14:legacySpreadsheetColorIndex="5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43132</xdr:colOff>
      <xdr:row>15</xdr:row>
      <xdr:rowOff>25879</xdr:rowOff>
    </xdr:from>
    <xdr:to>
      <xdr:col>3</xdr:col>
      <xdr:colOff>0</xdr:colOff>
      <xdr:row>20</xdr:row>
      <xdr:rowOff>112143</xdr:rowOff>
    </xdr:to>
    <xdr:pic>
      <xdr:nvPicPr>
        <xdr:cNvPr id="72180" name="Picture 50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94626" y="3001992"/>
          <a:ext cx="2130725" cy="1078302"/>
        </a:xfrm>
        <a:prstGeom prst="rect">
          <a:avLst/>
        </a:prstGeom>
        <a:noFill/>
        <a:ln w="9525">
          <a:solidFill>
            <a:srgbClr xmlns:mc="http://schemas.openxmlformats.org/markup-compatibility/2006" xmlns:a14="http://schemas.microsoft.com/office/drawing/2010/main" val="FF6600" mc:Ignorable="a14" a14:legacySpreadsheetColorIndex="5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86264</xdr:colOff>
      <xdr:row>14</xdr:row>
      <xdr:rowOff>60385</xdr:rowOff>
    </xdr:from>
    <xdr:to>
      <xdr:col>4</xdr:col>
      <xdr:colOff>715992</xdr:colOff>
      <xdr:row>20</xdr:row>
      <xdr:rowOff>103517</xdr:rowOff>
    </xdr:to>
    <xdr:pic>
      <xdr:nvPicPr>
        <xdr:cNvPr id="72181" name="Picture 50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511615" y="2838091"/>
          <a:ext cx="1544128" cy="1233577"/>
        </a:xfrm>
        <a:prstGeom prst="rect">
          <a:avLst/>
        </a:prstGeom>
        <a:noFill/>
        <a:ln w="9525">
          <a:solidFill>
            <a:srgbClr xmlns:mc="http://schemas.openxmlformats.org/markup-compatibility/2006" xmlns:a14="http://schemas.microsoft.com/office/drawing/2010/main" val="FF6600" mc:Ignorable="a14" a14:legacySpreadsheetColorIndex="5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500332</xdr:colOff>
      <xdr:row>29</xdr:row>
      <xdr:rowOff>172528</xdr:rowOff>
    </xdr:from>
    <xdr:to>
      <xdr:col>4</xdr:col>
      <xdr:colOff>353683</xdr:colOff>
      <xdr:row>34</xdr:row>
      <xdr:rowOff>43132</xdr:rowOff>
    </xdr:to>
    <xdr:pic>
      <xdr:nvPicPr>
        <xdr:cNvPr id="72182" name="Picture 50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25683" y="5874589"/>
          <a:ext cx="767751" cy="862641"/>
        </a:xfrm>
        <a:prstGeom prst="rect">
          <a:avLst/>
        </a:prstGeom>
        <a:noFill/>
        <a:ln w="9525">
          <a:solidFill>
            <a:srgbClr xmlns:mc="http://schemas.openxmlformats.org/markup-compatibility/2006" xmlns:a14="http://schemas.microsoft.com/office/drawing/2010/main" val="FF6600" mc:Ignorable="a14" a14:legacySpreadsheetColorIndex="5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267419</xdr:colOff>
      <xdr:row>35</xdr:row>
      <xdr:rowOff>51758</xdr:rowOff>
    </xdr:from>
    <xdr:to>
      <xdr:col>4</xdr:col>
      <xdr:colOff>681487</xdr:colOff>
      <xdr:row>40</xdr:row>
      <xdr:rowOff>189781</xdr:rowOff>
    </xdr:to>
    <xdr:pic>
      <xdr:nvPicPr>
        <xdr:cNvPr id="72183" name="Picture 5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92770" y="6944264"/>
          <a:ext cx="1328468" cy="1130061"/>
        </a:xfrm>
        <a:prstGeom prst="rect">
          <a:avLst/>
        </a:prstGeom>
        <a:noFill/>
        <a:ln w="9525">
          <a:solidFill>
            <a:srgbClr xmlns:mc="http://schemas.openxmlformats.org/markup-compatibility/2006" xmlns:a14="http://schemas.microsoft.com/office/drawing/2010/main" val="FF6600" mc:Ignorable="a14" a14:legacySpreadsheetColorIndex="5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77638</xdr:colOff>
      <xdr:row>41</xdr:row>
      <xdr:rowOff>60385</xdr:rowOff>
    </xdr:from>
    <xdr:to>
      <xdr:col>4</xdr:col>
      <xdr:colOff>888521</xdr:colOff>
      <xdr:row>45</xdr:row>
      <xdr:rowOff>138023</xdr:rowOff>
    </xdr:to>
    <xdr:pic>
      <xdr:nvPicPr>
        <xdr:cNvPr id="72184" name="Picture 50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02989" y="8143336"/>
          <a:ext cx="1725283" cy="871268"/>
        </a:xfrm>
        <a:prstGeom prst="rect">
          <a:avLst/>
        </a:prstGeom>
        <a:noFill/>
        <a:ln w="9525">
          <a:solidFill>
            <a:srgbClr xmlns:mc="http://schemas.openxmlformats.org/markup-compatibility/2006" xmlns:a14="http://schemas.microsoft.com/office/drawing/2010/main" val="FF6600" mc:Ignorable="a14" a14:legacySpreadsheetColorIndex="5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776377</xdr:colOff>
      <xdr:row>23</xdr:row>
      <xdr:rowOff>60385</xdr:rowOff>
    </xdr:from>
    <xdr:to>
      <xdr:col>3</xdr:col>
      <xdr:colOff>94891</xdr:colOff>
      <xdr:row>23</xdr:row>
      <xdr:rowOff>60385</xdr:rowOff>
    </xdr:to>
    <xdr:sp macro="" textlink="">
      <xdr:nvSpPr>
        <xdr:cNvPr id="49153" name="Line 1"/>
        <xdr:cNvSpPr>
          <a:spLocks noChangeShapeType="1"/>
        </xdr:cNvSpPr>
      </xdr:nvSpPr>
      <xdr:spPr bwMode="auto">
        <a:xfrm>
          <a:off x="776377" y="4546121"/>
          <a:ext cx="164764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776377</xdr:colOff>
      <xdr:row>20</xdr:row>
      <xdr:rowOff>0</xdr:rowOff>
    </xdr:from>
    <xdr:to>
      <xdr:col>0</xdr:col>
      <xdr:colOff>776377</xdr:colOff>
      <xdr:row>23</xdr:row>
      <xdr:rowOff>60385</xdr:rowOff>
    </xdr:to>
    <xdr:sp macro="" textlink="">
      <xdr:nvSpPr>
        <xdr:cNvPr id="49154" name="Line 2"/>
        <xdr:cNvSpPr>
          <a:spLocks noChangeShapeType="1"/>
        </xdr:cNvSpPr>
      </xdr:nvSpPr>
      <xdr:spPr bwMode="auto">
        <a:xfrm flipV="1">
          <a:off x="776377" y="3994030"/>
          <a:ext cx="0" cy="55209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94891</xdr:colOff>
      <xdr:row>20</xdr:row>
      <xdr:rowOff>0</xdr:rowOff>
    </xdr:from>
    <xdr:to>
      <xdr:col>3</xdr:col>
      <xdr:colOff>94891</xdr:colOff>
      <xdr:row>23</xdr:row>
      <xdr:rowOff>60385</xdr:rowOff>
    </xdr:to>
    <xdr:sp macro="" textlink="">
      <xdr:nvSpPr>
        <xdr:cNvPr id="49155" name="Line 3"/>
        <xdr:cNvSpPr>
          <a:spLocks noChangeShapeType="1"/>
        </xdr:cNvSpPr>
      </xdr:nvSpPr>
      <xdr:spPr bwMode="auto">
        <a:xfrm flipV="1">
          <a:off x="2424023" y="3994030"/>
          <a:ext cx="0" cy="55209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776377</xdr:colOff>
      <xdr:row>17</xdr:row>
      <xdr:rowOff>25879</xdr:rowOff>
    </xdr:from>
    <xdr:to>
      <xdr:col>1</xdr:col>
      <xdr:colOff>638355</xdr:colOff>
      <xdr:row>20</xdr:row>
      <xdr:rowOff>0</xdr:rowOff>
    </xdr:to>
    <xdr:sp macro="" textlink="">
      <xdr:nvSpPr>
        <xdr:cNvPr id="49156" name="Line 4"/>
        <xdr:cNvSpPr>
          <a:spLocks noChangeShapeType="1"/>
        </xdr:cNvSpPr>
      </xdr:nvSpPr>
      <xdr:spPr bwMode="auto">
        <a:xfrm flipV="1">
          <a:off x="776377" y="3528204"/>
          <a:ext cx="759125" cy="4658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638355</xdr:colOff>
      <xdr:row>17</xdr:row>
      <xdr:rowOff>25879</xdr:rowOff>
    </xdr:from>
    <xdr:to>
      <xdr:col>3</xdr:col>
      <xdr:colOff>94891</xdr:colOff>
      <xdr:row>20</xdr:row>
      <xdr:rowOff>0</xdr:rowOff>
    </xdr:to>
    <xdr:sp macro="" textlink="">
      <xdr:nvSpPr>
        <xdr:cNvPr id="49157" name="Line 5"/>
        <xdr:cNvSpPr>
          <a:spLocks noChangeShapeType="1"/>
        </xdr:cNvSpPr>
      </xdr:nvSpPr>
      <xdr:spPr bwMode="auto">
        <a:xfrm>
          <a:off x="1535502" y="3528204"/>
          <a:ext cx="888521" cy="4658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250166</xdr:colOff>
      <xdr:row>23</xdr:row>
      <xdr:rowOff>129396</xdr:rowOff>
    </xdr:from>
    <xdr:to>
      <xdr:col>3</xdr:col>
      <xdr:colOff>276045</xdr:colOff>
      <xdr:row>25</xdr:row>
      <xdr:rowOff>77638</xdr:rowOff>
    </xdr:to>
    <xdr:sp macro="" textlink="">
      <xdr:nvSpPr>
        <xdr:cNvPr id="49158" name="Text Box 6"/>
        <xdr:cNvSpPr txBox="1">
          <a:spLocks noChangeArrowheads="1"/>
        </xdr:cNvSpPr>
      </xdr:nvSpPr>
      <xdr:spPr bwMode="auto">
        <a:xfrm>
          <a:off x="1147313" y="4615132"/>
          <a:ext cx="1457864" cy="27604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200" b="1" i="0" u="none" strike="noStrike" baseline="0">
              <a:solidFill>
                <a:srgbClr val="000000"/>
              </a:solidFill>
              <a:latin typeface="Arial"/>
              <a:cs typeface="Arial"/>
            </a:rPr>
            <a:t>Vent en Long pan</a:t>
          </a:r>
          <a:endParaRPr lang="fr-FR" sz="1200" b="0" i="0" u="none" strike="noStrike" baseline="0">
            <a:solidFill>
              <a:srgbClr val="000000"/>
            </a:solidFill>
            <a:latin typeface="Arial"/>
            <a:cs typeface="Arial"/>
          </a:endParaRPr>
        </a:p>
        <a:p>
          <a:pPr algn="l" rtl="0">
            <a:defRPr sz="1000"/>
          </a:pPr>
          <a:endParaRPr lang="fr-FR"/>
        </a:p>
      </xdr:txBody>
    </xdr:sp>
    <xdr:clientData/>
  </xdr:twoCellAnchor>
  <xdr:twoCellAnchor>
    <xdr:from>
      <xdr:col>4</xdr:col>
      <xdr:colOff>224287</xdr:colOff>
      <xdr:row>23</xdr:row>
      <xdr:rowOff>60385</xdr:rowOff>
    </xdr:from>
    <xdr:to>
      <xdr:col>6</xdr:col>
      <xdr:colOff>888521</xdr:colOff>
      <xdr:row>23</xdr:row>
      <xdr:rowOff>60385</xdr:rowOff>
    </xdr:to>
    <xdr:sp macro="" textlink="">
      <xdr:nvSpPr>
        <xdr:cNvPr id="49159" name="Line 7"/>
        <xdr:cNvSpPr>
          <a:spLocks noChangeShapeType="1"/>
        </xdr:cNvSpPr>
      </xdr:nvSpPr>
      <xdr:spPr bwMode="auto">
        <a:xfrm>
          <a:off x="3303917" y="4546121"/>
          <a:ext cx="256204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224287</xdr:colOff>
      <xdr:row>17</xdr:row>
      <xdr:rowOff>25879</xdr:rowOff>
    </xdr:from>
    <xdr:to>
      <xdr:col>4</xdr:col>
      <xdr:colOff>224287</xdr:colOff>
      <xdr:row>23</xdr:row>
      <xdr:rowOff>60385</xdr:rowOff>
    </xdr:to>
    <xdr:sp macro="" textlink="">
      <xdr:nvSpPr>
        <xdr:cNvPr id="49160" name="Line 8"/>
        <xdr:cNvSpPr>
          <a:spLocks noChangeShapeType="1"/>
        </xdr:cNvSpPr>
      </xdr:nvSpPr>
      <xdr:spPr bwMode="auto">
        <a:xfrm flipV="1">
          <a:off x="3303917" y="3528204"/>
          <a:ext cx="0" cy="10179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224287</xdr:colOff>
      <xdr:row>17</xdr:row>
      <xdr:rowOff>25879</xdr:rowOff>
    </xdr:from>
    <xdr:to>
      <xdr:col>6</xdr:col>
      <xdr:colOff>888521</xdr:colOff>
      <xdr:row>17</xdr:row>
      <xdr:rowOff>25879</xdr:rowOff>
    </xdr:to>
    <xdr:sp macro="" textlink="">
      <xdr:nvSpPr>
        <xdr:cNvPr id="49161" name="Line 9"/>
        <xdr:cNvSpPr>
          <a:spLocks noChangeShapeType="1"/>
        </xdr:cNvSpPr>
      </xdr:nvSpPr>
      <xdr:spPr bwMode="auto">
        <a:xfrm>
          <a:off x="3303917" y="3528204"/>
          <a:ext cx="256204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888521</xdr:colOff>
      <xdr:row>17</xdr:row>
      <xdr:rowOff>25879</xdr:rowOff>
    </xdr:from>
    <xdr:to>
      <xdr:col>6</xdr:col>
      <xdr:colOff>888521</xdr:colOff>
      <xdr:row>23</xdr:row>
      <xdr:rowOff>60385</xdr:rowOff>
    </xdr:to>
    <xdr:sp macro="" textlink="">
      <xdr:nvSpPr>
        <xdr:cNvPr id="49162" name="Line 10"/>
        <xdr:cNvSpPr>
          <a:spLocks noChangeShapeType="1"/>
        </xdr:cNvSpPr>
      </xdr:nvSpPr>
      <xdr:spPr bwMode="auto">
        <a:xfrm>
          <a:off x="5865962" y="3528204"/>
          <a:ext cx="0" cy="10179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224287</xdr:colOff>
      <xdr:row>20</xdr:row>
      <xdr:rowOff>0</xdr:rowOff>
    </xdr:from>
    <xdr:to>
      <xdr:col>6</xdr:col>
      <xdr:colOff>888521</xdr:colOff>
      <xdr:row>20</xdr:row>
      <xdr:rowOff>0</xdr:rowOff>
    </xdr:to>
    <xdr:sp macro="" textlink="">
      <xdr:nvSpPr>
        <xdr:cNvPr id="49163" name="Line 11"/>
        <xdr:cNvSpPr>
          <a:spLocks noChangeShapeType="1"/>
        </xdr:cNvSpPr>
      </xdr:nvSpPr>
      <xdr:spPr bwMode="auto">
        <a:xfrm>
          <a:off x="3303917" y="3994030"/>
          <a:ext cx="256204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810883</xdr:colOff>
      <xdr:row>23</xdr:row>
      <xdr:rowOff>129396</xdr:rowOff>
    </xdr:from>
    <xdr:to>
      <xdr:col>6</xdr:col>
      <xdr:colOff>750498</xdr:colOff>
      <xdr:row>25</xdr:row>
      <xdr:rowOff>77638</xdr:rowOff>
    </xdr:to>
    <xdr:sp macro="" textlink="">
      <xdr:nvSpPr>
        <xdr:cNvPr id="49164" name="Text Box 12"/>
        <xdr:cNvSpPr txBox="1">
          <a:spLocks noChangeArrowheads="1"/>
        </xdr:cNvSpPr>
      </xdr:nvSpPr>
      <xdr:spPr bwMode="auto">
        <a:xfrm>
          <a:off x="3890513" y="4615132"/>
          <a:ext cx="1837427" cy="27604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200" b="1" i="0" u="none" strike="noStrike" baseline="0">
              <a:solidFill>
                <a:srgbClr val="000000"/>
              </a:solidFill>
              <a:latin typeface="Arial"/>
              <a:cs typeface="Arial"/>
            </a:rPr>
            <a:t>Vent en pignon</a:t>
          </a:r>
          <a:endParaRPr lang="fr-FR" sz="1200" b="0" i="0" u="none" strike="noStrike" baseline="0">
            <a:solidFill>
              <a:srgbClr val="000000"/>
            </a:solidFill>
            <a:latin typeface="Times New Roman"/>
            <a:cs typeface="Times New Roman"/>
          </a:endParaRPr>
        </a:p>
        <a:p>
          <a:pPr algn="l" rtl="0">
            <a:defRPr sz="1000"/>
          </a:pPr>
          <a:endParaRPr lang="fr-FR"/>
        </a:p>
      </xdr:txBody>
    </xdr:sp>
    <xdr:clientData/>
  </xdr:twoCellAnchor>
  <xdr:twoCellAnchor>
    <xdr:from>
      <xdr:col>0</xdr:col>
      <xdr:colOff>595223</xdr:colOff>
      <xdr:row>20</xdr:row>
      <xdr:rowOff>86264</xdr:rowOff>
    </xdr:from>
    <xdr:to>
      <xdr:col>1</xdr:col>
      <xdr:colOff>0</xdr:colOff>
      <xdr:row>22</xdr:row>
      <xdr:rowOff>69011</xdr:rowOff>
    </xdr:to>
    <xdr:sp macro="" textlink="">
      <xdr:nvSpPr>
        <xdr:cNvPr id="49165" name="Text Box 13"/>
        <xdr:cNvSpPr txBox="1">
          <a:spLocks noChangeArrowheads="1"/>
        </xdr:cNvSpPr>
      </xdr:nvSpPr>
      <xdr:spPr bwMode="auto">
        <a:xfrm>
          <a:off x="595223" y="4080294"/>
          <a:ext cx="301924" cy="31055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fr-FR" sz="1200" b="0" i="0" u="none" strike="noStrike" baseline="0">
              <a:solidFill>
                <a:srgbClr val="000000"/>
              </a:solidFill>
              <a:latin typeface="Times New Roman"/>
              <a:cs typeface="Times New Roman"/>
            </a:rPr>
            <a:t>1</a:t>
          </a:r>
        </a:p>
        <a:p>
          <a:pPr algn="l" rtl="0">
            <a:defRPr sz="1000"/>
          </a:pPr>
          <a:endParaRPr lang="fr-FR"/>
        </a:p>
      </xdr:txBody>
    </xdr:sp>
    <xdr:clientData/>
  </xdr:twoCellAnchor>
  <xdr:twoCellAnchor>
    <xdr:from>
      <xdr:col>1</xdr:col>
      <xdr:colOff>60385</xdr:colOff>
      <xdr:row>17</xdr:row>
      <xdr:rowOff>112143</xdr:rowOff>
    </xdr:from>
    <xdr:to>
      <xdr:col>1</xdr:col>
      <xdr:colOff>396815</xdr:colOff>
      <xdr:row>19</xdr:row>
      <xdr:rowOff>112143</xdr:rowOff>
    </xdr:to>
    <xdr:sp macro="" textlink="">
      <xdr:nvSpPr>
        <xdr:cNvPr id="49166" name="Text Box 14"/>
        <xdr:cNvSpPr txBox="1">
          <a:spLocks noChangeArrowheads="1"/>
        </xdr:cNvSpPr>
      </xdr:nvSpPr>
      <xdr:spPr bwMode="auto">
        <a:xfrm>
          <a:off x="957532" y="3614468"/>
          <a:ext cx="336430" cy="327804"/>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fr-FR" sz="1000" b="0" i="0" u="none" strike="noStrike" baseline="0">
              <a:solidFill>
                <a:srgbClr val="000000"/>
              </a:solidFill>
              <a:latin typeface="Times New Roman"/>
              <a:cs typeface="Times New Roman"/>
            </a:rPr>
            <a:t>2</a:t>
          </a:r>
          <a:endParaRPr lang="fr-FR" sz="1200" b="0" i="0" u="none" strike="noStrike" baseline="0">
            <a:solidFill>
              <a:srgbClr val="000000"/>
            </a:solidFill>
            <a:latin typeface="Times New Roman"/>
            <a:cs typeface="Times New Roman"/>
          </a:endParaRPr>
        </a:p>
        <a:p>
          <a:pPr algn="l" rtl="0">
            <a:defRPr sz="1000"/>
          </a:pPr>
          <a:endParaRPr lang="fr-FR"/>
        </a:p>
      </xdr:txBody>
    </xdr:sp>
    <xdr:clientData/>
  </xdr:twoCellAnchor>
  <xdr:twoCellAnchor>
    <xdr:from>
      <xdr:col>2</xdr:col>
      <xdr:colOff>215660</xdr:colOff>
      <xdr:row>17</xdr:row>
      <xdr:rowOff>0</xdr:rowOff>
    </xdr:from>
    <xdr:to>
      <xdr:col>2</xdr:col>
      <xdr:colOff>508958</xdr:colOff>
      <xdr:row>18</xdr:row>
      <xdr:rowOff>129396</xdr:rowOff>
    </xdr:to>
    <xdr:sp macro="" textlink="">
      <xdr:nvSpPr>
        <xdr:cNvPr id="49167" name="Text Box 15"/>
        <xdr:cNvSpPr txBox="1">
          <a:spLocks noChangeArrowheads="1"/>
        </xdr:cNvSpPr>
      </xdr:nvSpPr>
      <xdr:spPr bwMode="auto">
        <a:xfrm>
          <a:off x="1811547" y="3502325"/>
          <a:ext cx="293298" cy="29329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fr-FR" sz="1200" b="0" i="0" u="none" strike="noStrike" baseline="0">
              <a:solidFill>
                <a:srgbClr val="000000"/>
              </a:solidFill>
              <a:latin typeface="Times New Roman"/>
              <a:cs typeface="Times New Roman"/>
            </a:rPr>
            <a:t>3</a:t>
          </a:r>
        </a:p>
        <a:p>
          <a:pPr algn="l" rtl="0">
            <a:defRPr sz="1000"/>
          </a:pPr>
          <a:endParaRPr lang="fr-FR"/>
        </a:p>
      </xdr:txBody>
    </xdr:sp>
    <xdr:clientData/>
  </xdr:twoCellAnchor>
  <xdr:twoCellAnchor>
    <xdr:from>
      <xdr:col>3</xdr:col>
      <xdr:colOff>17253</xdr:colOff>
      <xdr:row>20</xdr:row>
      <xdr:rowOff>86264</xdr:rowOff>
    </xdr:from>
    <xdr:to>
      <xdr:col>3</xdr:col>
      <xdr:colOff>327804</xdr:colOff>
      <xdr:row>22</xdr:row>
      <xdr:rowOff>69011</xdr:rowOff>
    </xdr:to>
    <xdr:sp macro="" textlink="">
      <xdr:nvSpPr>
        <xdr:cNvPr id="49168" name="Text Box 16"/>
        <xdr:cNvSpPr txBox="1">
          <a:spLocks noChangeArrowheads="1"/>
        </xdr:cNvSpPr>
      </xdr:nvSpPr>
      <xdr:spPr bwMode="auto">
        <a:xfrm>
          <a:off x="2346385" y="4080294"/>
          <a:ext cx="310551" cy="31055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fr-FR" sz="1200" b="0" i="0" u="none" strike="noStrike" baseline="0">
              <a:solidFill>
                <a:srgbClr val="000000"/>
              </a:solidFill>
              <a:latin typeface="Times New Roman"/>
              <a:cs typeface="Times New Roman"/>
            </a:rPr>
            <a:t>4</a:t>
          </a:r>
        </a:p>
        <a:p>
          <a:pPr algn="l" rtl="0">
            <a:defRPr sz="1000"/>
          </a:pPr>
          <a:endParaRPr lang="fr-FR"/>
        </a:p>
      </xdr:txBody>
    </xdr:sp>
    <xdr:clientData/>
  </xdr:twoCellAnchor>
  <xdr:twoCellAnchor>
    <xdr:from>
      <xdr:col>3</xdr:col>
      <xdr:colOff>733245</xdr:colOff>
      <xdr:row>19</xdr:row>
      <xdr:rowOff>17253</xdr:rowOff>
    </xdr:from>
    <xdr:to>
      <xdr:col>4</xdr:col>
      <xdr:colOff>345057</xdr:colOff>
      <xdr:row>20</xdr:row>
      <xdr:rowOff>155275</xdr:rowOff>
    </xdr:to>
    <xdr:sp macro="" textlink="">
      <xdr:nvSpPr>
        <xdr:cNvPr id="49169" name="Text Box 17"/>
        <xdr:cNvSpPr txBox="1">
          <a:spLocks noChangeArrowheads="1"/>
        </xdr:cNvSpPr>
      </xdr:nvSpPr>
      <xdr:spPr bwMode="auto">
        <a:xfrm>
          <a:off x="3062377" y="3847381"/>
          <a:ext cx="362310" cy="3019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fr-FR" sz="1200" b="0" i="0" u="none" strike="noStrike" baseline="0">
              <a:solidFill>
                <a:srgbClr val="000000"/>
              </a:solidFill>
              <a:latin typeface="Times New Roman"/>
              <a:cs typeface="Times New Roman"/>
            </a:rPr>
            <a:t>5</a:t>
          </a:r>
        </a:p>
        <a:p>
          <a:pPr algn="l" rtl="0">
            <a:defRPr sz="1000"/>
          </a:pPr>
          <a:endParaRPr lang="fr-FR"/>
        </a:p>
      </xdr:txBody>
    </xdr:sp>
    <xdr:clientData/>
  </xdr:twoCellAnchor>
  <xdr:twoCellAnchor>
    <xdr:from>
      <xdr:col>6</xdr:col>
      <xdr:colOff>698740</xdr:colOff>
      <xdr:row>19</xdr:row>
      <xdr:rowOff>17253</xdr:rowOff>
    </xdr:from>
    <xdr:to>
      <xdr:col>7</xdr:col>
      <xdr:colOff>94891</xdr:colOff>
      <xdr:row>20</xdr:row>
      <xdr:rowOff>155275</xdr:rowOff>
    </xdr:to>
    <xdr:sp macro="" textlink="">
      <xdr:nvSpPr>
        <xdr:cNvPr id="49170" name="Text Box 18"/>
        <xdr:cNvSpPr txBox="1">
          <a:spLocks noChangeArrowheads="1"/>
        </xdr:cNvSpPr>
      </xdr:nvSpPr>
      <xdr:spPr bwMode="auto">
        <a:xfrm>
          <a:off x="5676181" y="3847381"/>
          <a:ext cx="345057" cy="3019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fr-FR" sz="1200" b="0" i="0" u="none" strike="noStrike" baseline="0">
              <a:solidFill>
                <a:srgbClr val="000000"/>
              </a:solidFill>
              <a:latin typeface="Times New Roman"/>
              <a:cs typeface="Times New Roman"/>
            </a:rPr>
            <a:t>6</a:t>
          </a:r>
        </a:p>
        <a:p>
          <a:pPr algn="l" rtl="0">
            <a:defRPr sz="1000"/>
          </a:pPr>
          <a:endParaRPr lang="fr-FR"/>
        </a:p>
      </xdr:txBody>
    </xdr:sp>
    <xdr:clientData/>
  </xdr:twoCellAnchor>
  <xdr:twoCellAnchor>
    <xdr:from>
      <xdr:col>2</xdr:col>
      <xdr:colOff>284672</xdr:colOff>
      <xdr:row>13</xdr:row>
      <xdr:rowOff>120770</xdr:rowOff>
    </xdr:from>
    <xdr:to>
      <xdr:col>7</xdr:col>
      <xdr:colOff>905774</xdr:colOff>
      <xdr:row>15</xdr:row>
      <xdr:rowOff>172528</xdr:rowOff>
    </xdr:to>
    <xdr:sp macro="" textlink="">
      <xdr:nvSpPr>
        <xdr:cNvPr id="49171" name="Rectangle 19"/>
        <xdr:cNvSpPr>
          <a:spLocks noChangeArrowheads="1"/>
        </xdr:cNvSpPr>
      </xdr:nvSpPr>
      <xdr:spPr bwMode="auto">
        <a:xfrm>
          <a:off x="1880558" y="2881223"/>
          <a:ext cx="4951563" cy="431320"/>
        </a:xfrm>
        <a:prstGeom prst="rect">
          <a:avLst/>
        </a:prstGeom>
        <a:solidFill>
          <a:srgbClr val="FFFFFF"/>
        </a:solidFill>
        <a:ln w="50800">
          <a:solidFill>
            <a:srgbClr xmlns:mc="http://schemas.openxmlformats.org/markup-compatibility/2006" xmlns:a14="http://schemas.microsoft.com/office/drawing/2010/main" val="0000FF" mc:Ignorable="a14" a14:legacySpreadsheetColorIndex="1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ctr" rtl="0">
            <a:defRPr sz="1000"/>
          </a:pPr>
          <a:r>
            <a:rPr lang="fr-FR" sz="1800" b="0" i="0" u="none" strike="noStrike" baseline="0">
              <a:solidFill>
                <a:srgbClr val="000000"/>
              </a:solidFill>
              <a:latin typeface="Arial"/>
              <a:cs typeface="Arial"/>
            </a:rPr>
            <a:t>W = q10n.( ks.kh.km.</a:t>
          </a:r>
          <a:r>
            <a:rPr lang="fr-FR" sz="1800" b="0" i="0" u="none" strike="noStrike" baseline="0">
              <a:solidFill>
                <a:srgbClr val="000000"/>
              </a:solidFill>
              <a:latin typeface="Symbol"/>
              <a:cs typeface="Arial"/>
            </a:rPr>
            <a:t>d</a:t>
          </a:r>
          <a:r>
            <a:rPr lang="fr-FR" sz="1800" b="0" i="0" u="none" strike="noStrike" baseline="0">
              <a:solidFill>
                <a:srgbClr val="000000"/>
              </a:solidFill>
              <a:latin typeface="Arial"/>
              <a:cs typeface="Arial"/>
            </a:rPr>
            <a:t>).(Ce-Ci).1,2</a:t>
          </a:r>
          <a:endParaRPr lang="fr-FR" sz="1400" b="0" i="0" u="none" strike="noStrike" baseline="0">
            <a:solidFill>
              <a:srgbClr val="000000"/>
            </a:solidFill>
            <a:latin typeface="Times New Roman"/>
            <a:cs typeface="Times New Roman"/>
          </a:endParaRPr>
        </a:p>
        <a:p>
          <a:pPr algn="ctr" rtl="0">
            <a:defRPr sz="1000"/>
          </a:pPr>
          <a:endParaRPr lang="fr-FR"/>
        </a:p>
      </xdr:txBody>
    </xdr:sp>
    <xdr:clientData/>
  </xdr:twoCellAnchor>
  <xdr:twoCellAnchor>
    <xdr:from>
      <xdr:col>1</xdr:col>
      <xdr:colOff>422694</xdr:colOff>
      <xdr:row>20</xdr:row>
      <xdr:rowOff>129396</xdr:rowOff>
    </xdr:from>
    <xdr:to>
      <xdr:col>2</xdr:col>
      <xdr:colOff>370936</xdr:colOff>
      <xdr:row>22</xdr:row>
      <xdr:rowOff>94891</xdr:rowOff>
    </xdr:to>
    <xdr:sp macro="" textlink="">
      <xdr:nvSpPr>
        <xdr:cNvPr id="49172" name="Text Box 20"/>
        <xdr:cNvSpPr txBox="1">
          <a:spLocks noChangeArrowheads="1"/>
        </xdr:cNvSpPr>
      </xdr:nvSpPr>
      <xdr:spPr bwMode="auto">
        <a:xfrm>
          <a:off x="1319842" y="4123426"/>
          <a:ext cx="646981" cy="29329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fr-FR" sz="1200" b="0" i="0" u="none" strike="noStrike" baseline="0">
              <a:solidFill>
                <a:srgbClr val="000000"/>
              </a:solidFill>
              <a:latin typeface="Times New Roman"/>
              <a:cs typeface="Times New Roman"/>
            </a:rPr>
            <a:t>5 et 6</a:t>
          </a:r>
        </a:p>
        <a:p>
          <a:pPr algn="l" rtl="0">
            <a:defRPr sz="1000"/>
          </a:pPr>
          <a:endParaRPr lang="fr-FR"/>
        </a:p>
      </xdr:txBody>
    </xdr:sp>
    <xdr:clientData/>
  </xdr:twoCellAnchor>
  <xdr:twoCellAnchor>
    <xdr:from>
      <xdr:col>4</xdr:col>
      <xdr:colOff>940279</xdr:colOff>
      <xdr:row>20</xdr:row>
      <xdr:rowOff>103517</xdr:rowOff>
    </xdr:from>
    <xdr:to>
      <xdr:col>5</xdr:col>
      <xdr:colOff>793630</xdr:colOff>
      <xdr:row>22</xdr:row>
      <xdr:rowOff>86264</xdr:rowOff>
    </xdr:to>
    <xdr:sp macro="" textlink="">
      <xdr:nvSpPr>
        <xdr:cNvPr id="49173" name="Text Box 21"/>
        <xdr:cNvSpPr txBox="1">
          <a:spLocks noChangeArrowheads="1"/>
        </xdr:cNvSpPr>
      </xdr:nvSpPr>
      <xdr:spPr bwMode="auto">
        <a:xfrm>
          <a:off x="4019909" y="4097547"/>
          <a:ext cx="802257" cy="31055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fr-FR" sz="1200" b="0" i="0" u="none" strike="noStrike" baseline="0">
              <a:solidFill>
                <a:srgbClr val="000000"/>
              </a:solidFill>
              <a:latin typeface="Times New Roman"/>
              <a:cs typeface="Times New Roman"/>
            </a:rPr>
            <a:t>1 et 4</a:t>
          </a:r>
        </a:p>
        <a:p>
          <a:pPr algn="ctr" rtl="0">
            <a:defRPr sz="1000"/>
          </a:pPr>
          <a:endParaRPr lang="fr-FR"/>
        </a:p>
      </xdr:txBody>
    </xdr:sp>
    <xdr:clientData/>
  </xdr:twoCellAnchor>
  <xdr:twoCellAnchor>
    <xdr:from>
      <xdr:col>4</xdr:col>
      <xdr:colOff>931653</xdr:colOff>
      <xdr:row>17</xdr:row>
      <xdr:rowOff>86264</xdr:rowOff>
    </xdr:from>
    <xdr:to>
      <xdr:col>5</xdr:col>
      <xdr:colOff>802257</xdr:colOff>
      <xdr:row>19</xdr:row>
      <xdr:rowOff>69011</xdr:rowOff>
    </xdr:to>
    <xdr:sp macro="" textlink="">
      <xdr:nvSpPr>
        <xdr:cNvPr id="49174" name="Text Box 22"/>
        <xdr:cNvSpPr txBox="1">
          <a:spLocks noChangeArrowheads="1"/>
        </xdr:cNvSpPr>
      </xdr:nvSpPr>
      <xdr:spPr bwMode="auto">
        <a:xfrm>
          <a:off x="4011283" y="3588589"/>
          <a:ext cx="819509" cy="31055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fr-FR" sz="1200" b="0" i="0" u="none" strike="noStrike" baseline="0">
              <a:solidFill>
                <a:srgbClr val="000000"/>
              </a:solidFill>
              <a:latin typeface="Times New Roman"/>
              <a:cs typeface="Times New Roman"/>
            </a:rPr>
            <a:t>2 et 3</a:t>
          </a:r>
        </a:p>
        <a:p>
          <a:pPr algn="ctr" rtl="0">
            <a:defRPr sz="1000"/>
          </a:pPr>
          <a:endParaRPr lang="fr-FR"/>
        </a:p>
      </xdr:txBody>
    </xdr:sp>
    <xdr:clientData/>
  </xdr:twoCellAnchor>
  <xdr:twoCellAnchor>
    <xdr:from>
      <xdr:col>0</xdr:col>
      <xdr:colOff>146649</xdr:colOff>
      <xdr:row>57</xdr:row>
      <xdr:rowOff>86264</xdr:rowOff>
    </xdr:from>
    <xdr:to>
      <xdr:col>6</xdr:col>
      <xdr:colOff>526211</xdr:colOff>
      <xdr:row>98</xdr:row>
      <xdr:rowOff>146649</xdr:rowOff>
    </xdr:to>
    <xdr:pic>
      <xdr:nvPicPr>
        <xdr:cNvPr id="49175" name="Picture 2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49" y="11093570"/>
          <a:ext cx="5357004" cy="6780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276045</xdr:colOff>
      <xdr:row>99</xdr:row>
      <xdr:rowOff>8626</xdr:rowOff>
    </xdr:from>
    <xdr:to>
      <xdr:col>6</xdr:col>
      <xdr:colOff>638355</xdr:colOff>
      <xdr:row>141</xdr:row>
      <xdr:rowOff>69011</xdr:rowOff>
    </xdr:to>
    <xdr:pic>
      <xdr:nvPicPr>
        <xdr:cNvPr id="49176" name="Picture 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045" y="17899811"/>
          <a:ext cx="5339751" cy="6944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181155</xdr:colOff>
      <xdr:row>3</xdr:row>
      <xdr:rowOff>94891</xdr:rowOff>
    </xdr:from>
    <xdr:to>
      <xdr:col>11</xdr:col>
      <xdr:colOff>120770</xdr:colOff>
      <xdr:row>6</xdr:row>
      <xdr:rowOff>25879</xdr:rowOff>
    </xdr:to>
    <xdr:sp macro="" textlink="">
      <xdr:nvSpPr>
        <xdr:cNvPr id="49177" name="Text Box 25"/>
        <xdr:cNvSpPr txBox="1">
          <a:spLocks noChangeArrowheads="1"/>
        </xdr:cNvSpPr>
      </xdr:nvSpPr>
      <xdr:spPr bwMode="auto">
        <a:xfrm>
          <a:off x="7375585" y="888521"/>
          <a:ext cx="1897811" cy="52621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Coef de hauteur, kh.</a:t>
          </a:r>
        </a:p>
        <a:p>
          <a:pPr algn="l" rtl="0">
            <a:defRPr sz="1000"/>
          </a:pPr>
          <a:r>
            <a:rPr lang="fr-FR" sz="1000" b="0" i="0" u="none" strike="noStrike" baseline="0">
              <a:solidFill>
                <a:srgbClr val="000000"/>
              </a:solidFill>
              <a:latin typeface="Arial"/>
              <a:cs typeface="Arial"/>
            </a:rPr>
            <a:t>Si h&lt;10m kh=1</a:t>
          </a:r>
        </a:p>
        <a:p>
          <a:pPr algn="l" rtl="0">
            <a:defRPr sz="1000"/>
          </a:pPr>
          <a:r>
            <a:rPr lang="fr-FR" sz="1000" b="0" i="0" u="none" strike="noStrike" baseline="0">
              <a:solidFill>
                <a:srgbClr val="000000"/>
              </a:solidFill>
              <a:latin typeface="Arial"/>
              <a:cs typeface="Arial"/>
            </a:rPr>
            <a:t>Si h&gt;10m, formule ci-dessous</a:t>
          </a:r>
        </a:p>
        <a:p>
          <a:pPr algn="l" rtl="0">
            <a:defRPr sz="1000"/>
          </a:pPr>
          <a:endParaRPr lang="fr-FR"/>
        </a:p>
      </xdr:txBody>
    </xdr:sp>
    <xdr:clientData/>
  </xdr:twoCellAnchor>
  <xdr:twoCellAnchor editAs="oneCell">
    <xdr:from>
      <xdr:col>9</xdr:col>
      <xdr:colOff>181155</xdr:colOff>
      <xdr:row>6</xdr:row>
      <xdr:rowOff>34506</xdr:rowOff>
    </xdr:from>
    <xdr:to>
      <xdr:col>11</xdr:col>
      <xdr:colOff>112143</xdr:colOff>
      <xdr:row>9</xdr:row>
      <xdr:rowOff>103517</xdr:rowOff>
    </xdr:to>
    <xdr:pic>
      <xdr:nvPicPr>
        <xdr:cNvPr id="49178" name="Picture 26" descr="ScreenShot5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75585" y="1423358"/>
          <a:ext cx="1889185" cy="586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pic>
    <xdr:clientData/>
  </xdr:twoCellAnchor>
  <xdr:twoCellAnchor editAs="oneCell">
    <xdr:from>
      <xdr:col>9</xdr:col>
      <xdr:colOff>69011</xdr:colOff>
      <xdr:row>10</xdr:row>
      <xdr:rowOff>94891</xdr:rowOff>
    </xdr:from>
    <xdr:to>
      <xdr:col>11</xdr:col>
      <xdr:colOff>189781</xdr:colOff>
      <xdr:row>15</xdr:row>
      <xdr:rowOff>69011</xdr:rowOff>
    </xdr:to>
    <xdr:pic>
      <xdr:nvPicPr>
        <xdr:cNvPr id="49179" name="Picture 27" descr="ScreenShot5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3442" y="2208362"/>
          <a:ext cx="2078966" cy="100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163902</xdr:colOff>
      <xdr:row>143</xdr:row>
      <xdr:rowOff>0</xdr:rowOff>
    </xdr:from>
    <xdr:to>
      <xdr:col>10</xdr:col>
      <xdr:colOff>43132</xdr:colOff>
      <xdr:row>176</xdr:row>
      <xdr:rowOff>112143</xdr:rowOff>
    </xdr:to>
    <xdr:pic>
      <xdr:nvPicPr>
        <xdr:cNvPr id="49180" name="Picture 2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r="34491" b="-3799"/>
        <a:stretch>
          <a:fillRect/>
        </a:stretch>
      </xdr:blipFill>
      <xdr:spPr bwMode="auto">
        <a:xfrm>
          <a:off x="163902" y="25102868"/>
          <a:ext cx="7832785" cy="5520906"/>
        </a:xfrm>
        <a:prstGeom prst="rect">
          <a:avLst/>
        </a:prstGeom>
        <a:noFill/>
        <a:ln>
          <a:noFill/>
        </a:ln>
        <a:extLst>
          <a:ext uri="{909E8E84-426E-40DD-AFC4-6F175D3DCCD1}">
            <a14:hiddenFill xmlns:a14="http://schemas.microsoft.com/office/drawing/2010/main">
              <a:solidFill>
                <a:srgbClr val="00B8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638355</xdr:colOff>
      <xdr:row>1</xdr:row>
      <xdr:rowOff>69011</xdr:rowOff>
    </xdr:from>
    <xdr:to>
      <xdr:col>5</xdr:col>
      <xdr:colOff>655608</xdr:colOff>
      <xdr:row>9</xdr:row>
      <xdr:rowOff>86264</xdr:rowOff>
    </xdr:to>
    <xdr:pic>
      <xdr:nvPicPr>
        <xdr:cNvPr id="49181" name="Picture 29" descr="ScreenShot6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34242" y="448574"/>
          <a:ext cx="2449901" cy="1544128"/>
        </a:xfrm>
        <a:prstGeom prst="rect">
          <a:avLst/>
        </a:prstGeom>
        <a:noFill/>
        <a:ln w="9525">
          <a:solidFill>
            <a:srgbClr xmlns:mc="http://schemas.openxmlformats.org/markup-compatibility/2006" xmlns:a14="http://schemas.microsoft.com/office/drawing/2010/main" val="00CCFF" mc:Ignorable="a14" a14:legacySpreadsheetColorIndex="4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6</xdr:col>
          <xdr:colOff>267419</xdr:colOff>
          <xdr:row>3</xdr:row>
          <xdr:rowOff>0</xdr:rowOff>
        </xdr:to>
        <xdr:sp macro="" textlink="">
          <xdr:nvSpPr>
            <xdr:cNvPr id="50177" name="Drop Down 1" hidden="1">
              <a:extLst>
                <a:ext uri="{63B3BB69-23CF-44E3-9099-C40C66FF867C}">
                  <a14:compatExt spid="_x0000_s50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6</xdr:col>
          <xdr:colOff>267419</xdr:colOff>
          <xdr:row>4</xdr:row>
          <xdr:rowOff>0</xdr:rowOff>
        </xdr:to>
        <xdr:sp macro="" textlink="">
          <xdr:nvSpPr>
            <xdr:cNvPr id="50179" name="Drop Down 3" hidden="1">
              <a:extLst>
                <a:ext uri="{63B3BB69-23CF-44E3-9099-C40C66FF867C}">
                  <a14:compatExt spid="_x0000_s50179"/>
                </a:ext>
              </a:extLst>
            </xdr:cNvPr>
            <xdr:cNvSpPr/>
          </xdr:nvSpPr>
          <xdr:spPr>
            <a:xfrm>
              <a:off x="0" y="0"/>
              <a:ext cx="0" cy="0"/>
            </a:xfrm>
            <a:prstGeom prst="rect">
              <a:avLst/>
            </a:prstGeom>
          </xdr:spPr>
        </xdr:sp>
        <xdr:clientData/>
      </xdr:twoCellAnchor>
    </mc:Choice>
    <mc:Fallback/>
  </mc:AlternateContent>
  <xdr:twoCellAnchor>
    <xdr:from>
      <xdr:col>2</xdr:col>
      <xdr:colOff>172528</xdr:colOff>
      <xdr:row>7</xdr:row>
      <xdr:rowOff>0</xdr:rowOff>
    </xdr:from>
    <xdr:to>
      <xdr:col>2</xdr:col>
      <xdr:colOff>172528</xdr:colOff>
      <xdr:row>7</xdr:row>
      <xdr:rowOff>163902</xdr:rowOff>
    </xdr:to>
    <xdr:sp macro="" textlink="">
      <xdr:nvSpPr>
        <xdr:cNvPr id="50180" name="Line 4"/>
        <xdr:cNvSpPr>
          <a:spLocks noChangeShapeType="1"/>
        </xdr:cNvSpPr>
      </xdr:nvSpPr>
      <xdr:spPr bwMode="auto">
        <a:xfrm>
          <a:off x="1259457" y="1570008"/>
          <a:ext cx="0" cy="16390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6</xdr:row>
      <xdr:rowOff>0</xdr:rowOff>
    </xdr:from>
    <xdr:to>
      <xdr:col>3</xdr:col>
      <xdr:colOff>0</xdr:colOff>
      <xdr:row>7</xdr:row>
      <xdr:rowOff>0</xdr:rowOff>
    </xdr:to>
    <xdr:sp macro="" textlink="">
      <xdr:nvSpPr>
        <xdr:cNvPr id="50181" name="Line 5"/>
        <xdr:cNvSpPr>
          <a:spLocks noChangeShapeType="1"/>
        </xdr:cNvSpPr>
      </xdr:nvSpPr>
      <xdr:spPr bwMode="auto">
        <a:xfrm flipV="1">
          <a:off x="1086928" y="1388853"/>
          <a:ext cx="336430" cy="1811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6</xdr:row>
      <xdr:rowOff>0</xdr:rowOff>
    </xdr:from>
    <xdr:to>
      <xdr:col>3</xdr:col>
      <xdr:colOff>8626</xdr:colOff>
      <xdr:row>7</xdr:row>
      <xdr:rowOff>0</xdr:rowOff>
    </xdr:to>
    <xdr:sp macro="" textlink="">
      <xdr:nvSpPr>
        <xdr:cNvPr id="50182" name="Line 6"/>
        <xdr:cNvSpPr>
          <a:spLocks noChangeShapeType="1"/>
        </xdr:cNvSpPr>
      </xdr:nvSpPr>
      <xdr:spPr bwMode="auto">
        <a:xfrm>
          <a:off x="1086928" y="1388853"/>
          <a:ext cx="345057" cy="1811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405442</xdr:colOff>
      <xdr:row>4</xdr:row>
      <xdr:rowOff>25879</xdr:rowOff>
    </xdr:from>
    <xdr:to>
      <xdr:col>10</xdr:col>
      <xdr:colOff>301925</xdr:colOff>
      <xdr:row>4</xdr:row>
      <xdr:rowOff>1095555</xdr:rowOff>
    </xdr:to>
    <xdr:pic>
      <xdr:nvPicPr>
        <xdr:cNvPr id="4096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6497" b="8943"/>
        <a:stretch>
          <a:fillRect/>
        </a:stretch>
      </xdr:blipFill>
      <xdr:spPr bwMode="auto">
        <a:xfrm>
          <a:off x="405442" y="2104845"/>
          <a:ext cx="7694762" cy="1069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577970</xdr:colOff>
      <xdr:row>2</xdr:row>
      <xdr:rowOff>25879</xdr:rowOff>
    </xdr:from>
    <xdr:to>
      <xdr:col>10</xdr:col>
      <xdr:colOff>146649</xdr:colOff>
      <xdr:row>2</xdr:row>
      <xdr:rowOff>1130060</xdr:rowOff>
    </xdr:to>
    <xdr:pic>
      <xdr:nvPicPr>
        <xdr:cNvPr id="4096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8563" b="12962"/>
        <a:stretch>
          <a:fillRect/>
        </a:stretch>
      </xdr:blipFill>
      <xdr:spPr bwMode="auto">
        <a:xfrm>
          <a:off x="577970" y="681487"/>
          <a:ext cx="7366958" cy="1104181"/>
        </a:xfrm>
        <a:prstGeom prst="rect">
          <a:avLst/>
        </a:prstGeom>
        <a:noFill/>
        <a:ln w="9525">
          <a:solidFill>
            <a:srgbClr xmlns:mc="http://schemas.openxmlformats.org/markup-compatibility/2006" xmlns:a14="http://schemas.microsoft.com/office/drawing/2010/main" val="3366FF" mc:Ignorable="a14" a14:legacySpreadsheetColorIndex="48"/>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1138687</xdr:colOff>
      <xdr:row>6</xdr:row>
      <xdr:rowOff>51758</xdr:rowOff>
    </xdr:from>
    <xdr:to>
      <xdr:col>9</xdr:col>
      <xdr:colOff>155275</xdr:colOff>
      <xdr:row>6</xdr:row>
      <xdr:rowOff>2070340</xdr:rowOff>
    </xdr:to>
    <xdr:pic>
      <xdr:nvPicPr>
        <xdr:cNvPr id="40963"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7970" y="3545457"/>
          <a:ext cx="6616460" cy="2018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733245</xdr:colOff>
      <xdr:row>22</xdr:row>
      <xdr:rowOff>138023</xdr:rowOff>
    </xdr:from>
    <xdr:to>
      <xdr:col>10</xdr:col>
      <xdr:colOff>715992</xdr:colOff>
      <xdr:row>34</xdr:row>
      <xdr:rowOff>51758</xdr:rowOff>
    </xdr:to>
    <xdr:pic>
      <xdr:nvPicPr>
        <xdr:cNvPr id="40966" name="Picture 6" descr="mso73FFE"/>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65962" y="8721306"/>
          <a:ext cx="2648310" cy="1984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129396</xdr:colOff>
      <xdr:row>1</xdr:row>
      <xdr:rowOff>34506</xdr:rowOff>
    </xdr:from>
    <xdr:to>
      <xdr:col>6</xdr:col>
      <xdr:colOff>534838</xdr:colOff>
      <xdr:row>4</xdr:row>
      <xdr:rowOff>34506</xdr:rowOff>
    </xdr:to>
    <xdr:pic>
      <xdr:nvPicPr>
        <xdr:cNvPr id="8193" name="Picture 1" descr="hh"/>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51230" y="258792"/>
          <a:ext cx="2225615" cy="672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6</xdr:col>
          <xdr:colOff>681487</xdr:colOff>
          <xdr:row>1</xdr:row>
          <xdr:rowOff>43132</xdr:rowOff>
        </xdr:from>
        <xdr:to>
          <xdr:col>11</xdr:col>
          <xdr:colOff>258792</xdr:colOff>
          <xdr:row>5</xdr:row>
          <xdr:rowOff>51758</xdr:rowOff>
        </xdr:to>
        <xdr:sp macro="" textlink="">
          <xdr:nvSpPr>
            <xdr:cNvPr id="8194" name="Object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xdr:twoCellAnchor>
    <xdr:from>
      <xdr:col>10</xdr:col>
      <xdr:colOff>431321</xdr:colOff>
      <xdr:row>51</xdr:row>
      <xdr:rowOff>25879</xdr:rowOff>
    </xdr:from>
    <xdr:to>
      <xdr:col>11</xdr:col>
      <xdr:colOff>474453</xdr:colOff>
      <xdr:row>52</xdr:row>
      <xdr:rowOff>94891</xdr:rowOff>
    </xdr:to>
    <xdr:sp macro="" textlink="">
      <xdr:nvSpPr>
        <xdr:cNvPr id="8201" name="WordArt 9" descr="Papier Kraft"/>
        <xdr:cNvSpPr>
          <a:spLocks noChangeArrowheads="1" noChangeShapeType="1" noTextEdit="1"/>
        </xdr:cNvSpPr>
      </xdr:nvSpPr>
      <xdr:spPr bwMode="auto">
        <a:xfrm>
          <a:off x="8798943" y="9264770"/>
          <a:ext cx="810883" cy="232913"/>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2"/>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mc:AlternateContent xmlns:mc="http://schemas.openxmlformats.org/markup-compatibility/2006">
    <mc:Choice xmlns:a14="http://schemas.microsoft.com/office/drawing/2010/main" Requires="a14">
      <xdr:twoCellAnchor>
        <xdr:from>
          <xdr:col>4</xdr:col>
          <xdr:colOff>345057</xdr:colOff>
          <xdr:row>6</xdr:row>
          <xdr:rowOff>8626</xdr:rowOff>
        </xdr:from>
        <xdr:to>
          <xdr:col>7</xdr:col>
          <xdr:colOff>86264</xdr:colOff>
          <xdr:row>9</xdr:row>
          <xdr:rowOff>51758</xdr:rowOff>
        </xdr:to>
        <xdr:sp macro="" textlink="">
          <xdr:nvSpPr>
            <xdr:cNvPr id="8210" name="Object 18" hidden="1">
              <a:extLst>
                <a:ext uri="{63B3BB69-23CF-44E3-9099-C40C66FF867C}">
                  <a14:compatExt spid="_x0000_s8210"/>
                </a:ext>
              </a:extLst>
            </xdr:cNvPr>
            <xdr:cNvSpPr/>
          </xdr:nvSpPr>
          <xdr:spPr>
            <a:xfrm>
              <a:off x="0" y="0"/>
              <a:ext cx="0" cy="0"/>
            </a:xfrm>
            <a:prstGeom prst="rect">
              <a:avLst/>
            </a:prstGeom>
          </xdr:spPr>
        </xdr:sp>
        <xdr:clientData/>
      </xdr:twoCellAnchor>
    </mc:Choice>
    <mc:Fallback/>
  </mc:AlternateContent>
  <xdr:twoCellAnchor>
    <xdr:from>
      <xdr:col>3</xdr:col>
      <xdr:colOff>94891</xdr:colOff>
      <xdr:row>11</xdr:row>
      <xdr:rowOff>0</xdr:rowOff>
    </xdr:from>
    <xdr:to>
      <xdr:col>4</xdr:col>
      <xdr:colOff>431321</xdr:colOff>
      <xdr:row>14</xdr:row>
      <xdr:rowOff>94891</xdr:rowOff>
    </xdr:to>
    <xdr:sp macro="" textlink="">
      <xdr:nvSpPr>
        <xdr:cNvPr id="8211" name="Line 19"/>
        <xdr:cNvSpPr>
          <a:spLocks noChangeShapeType="1"/>
        </xdr:cNvSpPr>
      </xdr:nvSpPr>
      <xdr:spPr bwMode="auto">
        <a:xfrm>
          <a:off x="4416725" y="2260121"/>
          <a:ext cx="862641" cy="7246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112143</xdr:colOff>
      <xdr:row>15</xdr:row>
      <xdr:rowOff>163902</xdr:rowOff>
    </xdr:from>
    <xdr:to>
      <xdr:col>5</xdr:col>
      <xdr:colOff>0</xdr:colOff>
      <xdr:row>16</xdr:row>
      <xdr:rowOff>43132</xdr:rowOff>
    </xdr:to>
    <xdr:sp macro="" textlink="">
      <xdr:nvSpPr>
        <xdr:cNvPr id="8212" name="Line 20"/>
        <xdr:cNvSpPr>
          <a:spLocks noChangeShapeType="1"/>
        </xdr:cNvSpPr>
      </xdr:nvSpPr>
      <xdr:spPr bwMode="auto">
        <a:xfrm>
          <a:off x="4433977" y="3295291"/>
          <a:ext cx="948906" cy="1466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733245</xdr:colOff>
      <xdr:row>7</xdr:row>
      <xdr:rowOff>112143</xdr:rowOff>
    </xdr:from>
    <xdr:to>
      <xdr:col>7</xdr:col>
      <xdr:colOff>586596</xdr:colOff>
      <xdr:row>9</xdr:row>
      <xdr:rowOff>103517</xdr:rowOff>
    </xdr:to>
    <xdr:sp macro="" textlink="">
      <xdr:nvSpPr>
        <xdr:cNvPr id="8214" name="WordArt 22"/>
        <xdr:cNvSpPr>
          <a:spLocks noChangeArrowheads="1" noChangeShapeType="1" noTextEdit="1"/>
        </xdr:cNvSpPr>
      </xdr:nvSpPr>
      <xdr:spPr bwMode="auto">
        <a:xfrm>
          <a:off x="6875253" y="1561381"/>
          <a:ext cx="414068" cy="353683"/>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6</xdr:col>
      <xdr:colOff>586596</xdr:colOff>
      <xdr:row>20</xdr:row>
      <xdr:rowOff>155275</xdr:rowOff>
    </xdr:from>
    <xdr:to>
      <xdr:col>7</xdr:col>
      <xdr:colOff>439947</xdr:colOff>
      <xdr:row>23</xdr:row>
      <xdr:rowOff>51758</xdr:rowOff>
    </xdr:to>
    <xdr:sp macro="" textlink="">
      <xdr:nvSpPr>
        <xdr:cNvPr id="8215" name="WordArt 23"/>
        <xdr:cNvSpPr>
          <a:spLocks noChangeArrowheads="1" noChangeShapeType="1" noTextEdit="1"/>
        </xdr:cNvSpPr>
      </xdr:nvSpPr>
      <xdr:spPr bwMode="auto">
        <a:xfrm>
          <a:off x="6728604" y="4270075"/>
          <a:ext cx="560717" cy="396816"/>
        </a:xfrm>
        <a:prstGeom prst="rect">
          <a:avLst/>
        </a:prstGeom>
        <a:extLst>
          <a:ext uri="{AF507438-7753-43E0-B8FC-AC1667EBCBE1}">
            <a14:hiddenEffects xmlns:a14="http://schemas.microsoft.com/office/drawing/2010/main">
              <a:effectLst/>
            </a14:hiddenEffects>
          </a:ext>
        </a:extLst>
      </xdr:spPr>
      <xdr:txBody>
        <a:bodyPr wrap="none" fromWordArt="1">
          <a:prstTxWarp prst="textCascadeUp">
            <a:avLst>
              <a:gd name="adj" fmla="val 44444"/>
            </a:avLst>
          </a:prstTxWarp>
          <a:scene3d>
            <a:camera prst="legacyPerspectiveFront">
              <a:rot lat="20519999" lon="1080000" rev="0"/>
            </a:camera>
            <a:lightRig rig="legacyHarsh2" dir="b"/>
          </a:scene3d>
          <a:sp3d extrusionH="430200" prstMaterial="legacyMatte">
            <a:extrusionClr>
              <a:srgbClr val="FF6600"/>
            </a:extrusionClr>
          </a:sp3d>
        </a:bodyPr>
        <a:lstStyle/>
        <a:p>
          <a:pPr algn="ctr" rtl="0">
            <a:buNone/>
          </a:pPr>
          <a:r>
            <a:rPr lang="fr-FR" sz="3600" kern="10" spc="0">
              <a:ln w="9525">
                <a:round/>
                <a:headEnd/>
                <a:tailEnd/>
              </a:ln>
              <a:gradFill rotWithShape="0">
                <a:gsLst>
                  <a:gs pos="0">
                    <a:srgbClr val="FFE701"/>
                  </a:gs>
                  <a:gs pos="100000">
                    <a:srgbClr val="FE3E02"/>
                  </a:gs>
                </a:gsLst>
                <a:lin ang="5400000" scaled="1"/>
              </a:gradFill>
              <a:effectLst/>
              <a:latin typeface="Impact"/>
            </a:rPr>
            <a:t>Rappel</a:t>
          </a:r>
        </a:p>
      </xdr:txBody>
    </xdr:sp>
    <xdr:clientData/>
  </xdr:twoCellAnchor>
  <xdr:twoCellAnchor>
    <xdr:from>
      <xdr:col>9</xdr:col>
      <xdr:colOff>215660</xdr:colOff>
      <xdr:row>19</xdr:row>
      <xdr:rowOff>163902</xdr:rowOff>
    </xdr:from>
    <xdr:to>
      <xdr:col>10</xdr:col>
      <xdr:colOff>724619</xdr:colOff>
      <xdr:row>21</xdr:row>
      <xdr:rowOff>60385</xdr:rowOff>
    </xdr:to>
    <xdr:sp macro="" textlink="">
      <xdr:nvSpPr>
        <xdr:cNvPr id="8216" name="WordArt 24" descr="Papier Kraft"/>
        <xdr:cNvSpPr>
          <a:spLocks noChangeArrowheads="1" noChangeShapeType="1" noTextEdit="1"/>
        </xdr:cNvSpPr>
      </xdr:nvSpPr>
      <xdr:spPr bwMode="auto">
        <a:xfrm>
          <a:off x="8264106" y="4106174"/>
          <a:ext cx="828136" cy="232913"/>
        </a:xfrm>
        <a:prstGeom prst="rect">
          <a:avLst/>
        </a:prstGeom>
      </xdr:spPr>
      <xdr:txBody>
        <a:bodyPr wrap="none" fromWordArt="1">
          <a:prstTxWarp prst="textPlain">
            <a:avLst>
              <a:gd name="adj" fmla="val 50000"/>
            </a:avLst>
          </a:prstTxWarp>
        </a:bodyPr>
        <a:lstStyle/>
        <a:p>
          <a:pPr algn="ctr" rtl="0">
            <a:buNone/>
          </a:pPr>
          <a:r>
            <a:rPr lang="fr-FR" sz="3600" kern="10" spc="0">
              <a:ln w="9525">
                <a:solidFill>
                  <a:srgbClr val="008000"/>
                </a:solidFill>
                <a:round/>
                <a:headEnd/>
                <a:tailEnd/>
              </a:ln>
              <a:blipFill dpi="0" rotWithShape="0">
                <a:blip xmlns:r="http://schemas.openxmlformats.org/officeDocument/2006/relationships" r:embed="rId2"/>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Taux de travail</a:t>
          </a:r>
        </a:p>
      </xdr:txBody>
    </xdr:sp>
    <xdr:clientData/>
  </xdr:twoCellAnchor>
  <mc:AlternateContent xmlns:mc="http://schemas.openxmlformats.org/markup-compatibility/2006">
    <mc:Choice xmlns:a14="http://schemas.microsoft.com/office/drawing/2010/main" Requires="a14">
      <xdr:twoCellAnchor>
        <xdr:from>
          <xdr:col>5</xdr:col>
          <xdr:colOff>77638</xdr:colOff>
          <xdr:row>14</xdr:row>
          <xdr:rowOff>94891</xdr:rowOff>
        </xdr:from>
        <xdr:to>
          <xdr:col>7</xdr:col>
          <xdr:colOff>0</xdr:colOff>
          <xdr:row>17</xdr:row>
          <xdr:rowOff>51758</xdr:rowOff>
        </xdr:to>
        <xdr:sp macro="" textlink="">
          <xdr:nvSpPr>
            <xdr:cNvPr id="8218" name="Object 26" hidden="1">
              <a:extLst>
                <a:ext uri="{63B3BB69-23CF-44E3-9099-C40C66FF867C}">
                  <a14:compatExt spid="_x0000_s8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310551</xdr:colOff>
          <xdr:row>19</xdr:row>
          <xdr:rowOff>51758</xdr:rowOff>
        </xdr:from>
        <xdr:to>
          <xdr:col>6</xdr:col>
          <xdr:colOff>621102</xdr:colOff>
          <xdr:row>23</xdr:row>
          <xdr:rowOff>34506</xdr:rowOff>
        </xdr:to>
        <xdr:sp macro="" textlink="">
          <xdr:nvSpPr>
            <xdr:cNvPr id="8219" name="Object 27" hidden="1">
              <a:extLst>
                <a:ext uri="{63B3BB69-23CF-44E3-9099-C40C66FF867C}">
                  <a14:compatExt spid="_x0000_s8219"/>
                </a:ext>
              </a:extLst>
            </xdr:cNvPr>
            <xdr:cNvSpPr/>
          </xdr:nvSpPr>
          <xdr:spPr>
            <a:xfrm>
              <a:off x="0" y="0"/>
              <a:ext cx="0" cy="0"/>
            </a:xfrm>
            <a:prstGeom prst="rect">
              <a:avLst/>
            </a:prstGeom>
          </xdr:spPr>
        </xdr:sp>
        <xdr:clientData/>
      </xdr:twoCellAnchor>
    </mc:Choice>
    <mc:Fallback/>
  </mc:AlternateContent>
  <xdr:twoCellAnchor>
    <xdr:from>
      <xdr:col>8</xdr:col>
      <xdr:colOff>120770</xdr:colOff>
      <xdr:row>16</xdr:row>
      <xdr:rowOff>8626</xdr:rowOff>
    </xdr:from>
    <xdr:to>
      <xdr:col>8</xdr:col>
      <xdr:colOff>715992</xdr:colOff>
      <xdr:row>16</xdr:row>
      <xdr:rowOff>8626</xdr:rowOff>
    </xdr:to>
    <xdr:sp macro="" textlink="">
      <xdr:nvSpPr>
        <xdr:cNvPr id="8220" name="Line 28"/>
        <xdr:cNvSpPr>
          <a:spLocks noChangeShapeType="1"/>
        </xdr:cNvSpPr>
      </xdr:nvSpPr>
      <xdr:spPr bwMode="auto">
        <a:xfrm>
          <a:off x="7410091" y="3407434"/>
          <a:ext cx="595222"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414068</xdr:colOff>
          <xdr:row>11</xdr:row>
          <xdr:rowOff>34506</xdr:rowOff>
        </xdr:from>
        <xdr:to>
          <xdr:col>7</xdr:col>
          <xdr:colOff>310551</xdr:colOff>
          <xdr:row>13</xdr:row>
          <xdr:rowOff>51758</xdr:rowOff>
        </xdr:to>
        <xdr:sp macro="" textlink="">
          <xdr:nvSpPr>
            <xdr:cNvPr id="8223" name="Object 31" hidden="1">
              <a:extLst>
                <a:ext uri="{63B3BB69-23CF-44E3-9099-C40C66FF867C}">
                  <a14:compatExt spid="_x0000_s8223"/>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ACH%20CHARGEMEN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8"/>
      <sheetName val="M4"/>
      <sheetName val="pression dynamique de pointe"/>
      <sheetName val="bâtiment un versant"/>
      <sheetName val="bâtiment deux versants"/>
      <sheetName val="toiture terrasse"/>
      <sheetName val="acrotère"/>
      <sheetName val="bâtiment ouvert 1 versant"/>
      <sheetName val="bâtiment ouvert 2 versants"/>
      <sheetName val="aides"/>
      <sheetName val="doc"/>
      <sheetName val="UTILITAIRE VENT"/>
      <sheetName val="4-1"/>
      <sheetName val="4-2"/>
      <sheetName val="4-3"/>
      <sheetName val="4-4"/>
      <sheetName val="4-5"/>
      <sheetName val="4-6"/>
      <sheetName val="4-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6.vml"/><Relationship Id="rId7" Type="http://schemas.openxmlformats.org/officeDocument/2006/relationships/image" Target="../media/image3.wmf"/><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oleObject" Target="../embeddings/oleObject2.bin"/><Relationship Id="rId5" Type="http://schemas.openxmlformats.org/officeDocument/2006/relationships/image" Target="../media/image2.wmf"/><Relationship Id="rId4" Type="http://schemas.openxmlformats.org/officeDocument/2006/relationships/oleObject" Target="../embeddings/oleObject1.bin"/><Relationship Id="rId9" Type="http://schemas.openxmlformats.org/officeDocument/2006/relationships/image" Target="../media/image4.wmf"/></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0.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12.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8" Type="http://schemas.openxmlformats.org/officeDocument/2006/relationships/oleObject" Target="../embeddings/oleObject6.bin"/><Relationship Id="rId13" Type="http://schemas.openxmlformats.org/officeDocument/2006/relationships/image" Target="../media/image24.emf"/><Relationship Id="rId3" Type="http://schemas.openxmlformats.org/officeDocument/2006/relationships/vmlDrawing" Target="../drawings/vmlDrawing9.vml"/><Relationship Id="rId7" Type="http://schemas.openxmlformats.org/officeDocument/2006/relationships/image" Target="../media/image21.emf"/><Relationship Id="rId12" Type="http://schemas.openxmlformats.org/officeDocument/2006/relationships/oleObject" Target="../embeddings/oleObject8.bin"/><Relationship Id="rId2" Type="http://schemas.openxmlformats.org/officeDocument/2006/relationships/drawing" Target="../drawings/drawing9.xml"/><Relationship Id="rId1" Type="http://schemas.openxmlformats.org/officeDocument/2006/relationships/printerSettings" Target="../printerSettings/printerSettings14.bin"/><Relationship Id="rId6" Type="http://schemas.openxmlformats.org/officeDocument/2006/relationships/oleObject" Target="../embeddings/oleObject5.bin"/><Relationship Id="rId11" Type="http://schemas.openxmlformats.org/officeDocument/2006/relationships/image" Target="../media/image23.emf"/><Relationship Id="rId5" Type="http://schemas.openxmlformats.org/officeDocument/2006/relationships/image" Target="../media/image20.emf"/><Relationship Id="rId10" Type="http://schemas.openxmlformats.org/officeDocument/2006/relationships/oleObject" Target="../embeddings/oleObject7.bin"/><Relationship Id="rId4" Type="http://schemas.openxmlformats.org/officeDocument/2006/relationships/oleObject" Target="../embeddings/oleObject4.bin"/><Relationship Id="rId9" Type="http://schemas.openxmlformats.org/officeDocument/2006/relationships/image" Target="../media/image22.emf"/><Relationship Id="rId1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trlProp" Target="../ctrlProps/ctrlProp12.xml"/></Relationships>
</file>

<file path=xl/worksheets/_rels/sheet1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6.bin"/><Relationship Id="rId5" Type="http://schemas.openxmlformats.org/officeDocument/2006/relationships/comments" Target="../comments7.xml"/><Relationship Id="rId4" Type="http://schemas.openxmlformats.org/officeDocument/2006/relationships/ctrlProp" Target="../ctrlProps/ctrlProp13.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7.bin"/><Relationship Id="rId4"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9.bin"/><Relationship Id="rId5" Type="http://schemas.openxmlformats.org/officeDocument/2006/relationships/image" Target="../media/image37.emf"/><Relationship Id="rId4" Type="http://schemas.openxmlformats.org/officeDocument/2006/relationships/oleObject" Target="../embeddings/oleObject9.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20.bin"/><Relationship Id="rId5" Type="http://schemas.openxmlformats.org/officeDocument/2006/relationships/comments" Target="../comments9.xml"/><Relationship Id="rId4" Type="http://schemas.openxmlformats.org/officeDocument/2006/relationships/ctrlProp" Target="../ctrlProps/ctrlProp14.xml"/></Relationships>
</file>

<file path=xl/worksheets/_rels/sheet24.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vmlDrawing" Target="../drawings/vmlDrawing17.vml"/><Relationship Id="rId7" Type="http://schemas.openxmlformats.org/officeDocument/2006/relationships/ctrlProp" Target="../ctrlProps/ctrlProp16.xml"/><Relationship Id="rId2" Type="http://schemas.openxmlformats.org/officeDocument/2006/relationships/drawing" Target="../drawings/drawing17.xml"/><Relationship Id="rId1" Type="http://schemas.openxmlformats.org/officeDocument/2006/relationships/printerSettings" Target="../printerSettings/printerSettings21.bin"/><Relationship Id="rId6" Type="http://schemas.openxmlformats.org/officeDocument/2006/relationships/ctrlProp" Target="../ctrlProps/ctrlProp15.xml"/><Relationship Id="rId5" Type="http://schemas.openxmlformats.org/officeDocument/2006/relationships/image" Target="../media/image44.emf"/><Relationship Id="rId4" Type="http://schemas.openxmlformats.org/officeDocument/2006/relationships/oleObject" Target="../embeddings/oleObject10.bin"/></Relationships>
</file>

<file path=xl/worksheets/_rels/sheet25.xml.rels><?xml version="1.0" encoding="UTF-8" standalone="yes"?>
<Relationships xmlns="http://schemas.openxmlformats.org/package/2006/relationships"><Relationship Id="rId3" Type="http://schemas.openxmlformats.org/officeDocument/2006/relationships/oleObject" Target="../embeddings/oleObject11.bin"/><Relationship Id="rId2" Type="http://schemas.openxmlformats.org/officeDocument/2006/relationships/vmlDrawing" Target="../drawings/vmlDrawing18.vml"/><Relationship Id="rId1" Type="http://schemas.openxmlformats.org/officeDocument/2006/relationships/drawing" Target="../drawings/drawing18.xml"/><Relationship Id="rId5" Type="http://schemas.openxmlformats.org/officeDocument/2006/relationships/comments" Target="../comments11.xml"/><Relationship Id="rId4" Type="http://schemas.openxmlformats.org/officeDocument/2006/relationships/image" Target="../media/image47.emf"/></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2.bin"/><Relationship Id="rId6" Type="http://schemas.openxmlformats.org/officeDocument/2006/relationships/comments" Target="../comments12.xml"/><Relationship Id="rId5" Type="http://schemas.openxmlformats.org/officeDocument/2006/relationships/image" Target="../media/image47.emf"/><Relationship Id="rId4" Type="http://schemas.openxmlformats.org/officeDocument/2006/relationships/oleObject" Target="../embeddings/oleObject12.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3.bin"/><Relationship Id="rId6" Type="http://schemas.openxmlformats.org/officeDocument/2006/relationships/comments" Target="../comments13.xml"/><Relationship Id="rId5" Type="http://schemas.openxmlformats.org/officeDocument/2006/relationships/image" Target="../media/image47.emf"/><Relationship Id="rId4" Type="http://schemas.openxmlformats.org/officeDocument/2006/relationships/oleObject" Target="../embeddings/oleObject13.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4.bin"/><Relationship Id="rId6" Type="http://schemas.openxmlformats.org/officeDocument/2006/relationships/comments" Target="../comments14.xml"/><Relationship Id="rId5" Type="http://schemas.openxmlformats.org/officeDocument/2006/relationships/image" Target="../media/image47.emf"/><Relationship Id="rId4" Type="http://schemas.openxmlformats.org/officeDocument/2006/relationships/oleObject" Target="../embeddings/oleObject14.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5.bin"/><Relationship Id="rId4"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3.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8.bin"/><Relationship Id="rId4"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9.bin"/><Relationship Id="rId4"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30.bin"/><Relationship Id="rId4"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31.bin"/><Relationship Id="rId4"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32.bin"/><Relationship Id="rId4"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9.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30.vml"/><Relationship Id="rId1" Type="http://schemas.openxmlformats.org/officeDocument/2006/relationships/drawing" Target="../drawings/drawing29.xml"/></Relationships>
</file>

<file path=xl/worksheets/_rels/sheet39.xml.rels><?xml version="1.0" encoding="UTF-8" standalone="yes"?>
<Relationships xmlns="http://schemas.openxmlformats.org/package/2006/relationships"><Relationship Id="rId3" Type="http://schemas.openxmlformats.org/officeDocument/2006/relationships/oleObject" Target="../embeddings/oleObject15.bin"/><Relationship Id="rId2" Type="http://schemas.openxmlformats.org/officeDocument/2006/relationships/vmlDrawing" Target="../drawings/vmlDrawing31.vml"/><Relationship Id="rId1" Type="http://schemas.openxmlformats.org/officeDocument/2006/relationships/drawing" Target="../drawings/drawing30.xml"/><Relationship Id="rId5" Type="http://schemas.openxmlformats.org/officeDocument/2006/relationships/comments" Target="../comments24.xml"/><Relationship Id="rId4" Type="http://schemas.openxmlformats.org/officeDocument/2006/relationships/image" Target="../media/image44.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8" Type="http://schemas.openxmlformats.org/officeDocument/2006/relationships/oleObject" Target="../embeddings/oleObject18.bin"/><Relationship Id="rId3" Type="http://schemas.openxmlformats.org/officeDocument/2006/relationships/vmlDrawing" Target="../drawings/vmlDrawing32.vml"/><Relationship Id="rId7" Type="http://schemas.openxmlformats.org/officeDocument/2006/relationships/image" Target="../media/image56.wmf"/><Relationship Id="rId12" Type="http://schemas.openxmlformats.org/officeDocument/2006/relationships/comments" Target="../comments25.xml"/><Relationship Id="rId2" Type="http://schemas.openxmlformats.org/officeDocument/2006/relationships/drawing" Target="../drawings/drawing32.xml"/><Relationship Id="rId1" Type="http://schemas.openxmlformats.org/officeDocument/2006/relationships/printerSettings" Target="../printerSettings/printerSettings35.bin"/><Relationship Id="rId6" Type="http://schemas.openxmlformats.org/officeDocument/2006/relationships/oleObject" Target="../embeddings/oleObject17.bin"/><Relationship Id="rId11" Type="http://schemas.openxmlformats.org/officeDocument/2006/relationships/image" Target="../media/image58.wmf"/><Relationship Id="rId5" Type="http://schemas.openxmlformats.org/officeDocument/2006/relationships/image" Target="../media/image55.emf"/><Relationship Id="rId10" Type="http://schemas.openxmlformats.org/officeDocument/2006/relationships/oleObject" Target="../embeddings/oleObject19.bin"/><Relationship Id="rId4" Type="http://schemas.openxmlformats.org/officeDocument/2006/relationships/oleObject" Target="../embeddings/oleObject16.bin"/><Relationship Id="rId9" Type="http://schemas.openxmlformats.org/officeDocument/2006/relationships/image" Target="../media/image57.emf"/></Relationships>
</file>

<file path=xl/worksheets/_rels/sheet42.xml.rels><?xml version="1.0" encoding="UTF-8" standalone="yes"?>
<Relationships xmlns="http://schemas.openxmlformats.org/package/2006/relationships"><Relationship Id="rId8" Type="http://schemas.openxmlformats.org/officeDocument/2006/relationships/oleObject" Target="../embeddings/oleObject22.bin"/><Relationship Id="rId3" Type="http://schemas.openxmlformats.org/officeDocument/2006/relationships/vmlDrawing" Target="../drawings/vmlDrawing33.vml"/><Relationship Id="rId7" Type="http://schemas.openxmlformats.org/officeDocument/2006/relationships/image" Target="../media/image61.wmf"/><Relationship Id="rId12" Type="http://schemas.openxmlformats.org/officeDocument/2006/relationships/comments" Target="../comments26.xml"/><Relationship Id="rId2" Type="http://schemas.openxmlformats.org/officeDocument/2006/relationships/drawing" Target="../drawings/drawing33.xml"/><Relationship Id="rId1" Type="http://schemas.openxmlformats.org/officeDocument/2006/relationships/printerSettings" Target="../printerSettings/printerSettings36.bin"/><Relationship Id="rId6" Type="http://schemas.openxmlformats.org/officeDocument/2006/relationships/oleObject" Target="../embeddings/oleObject21.bin"/><Relationship Id="rId11" Type="http://schemas.openxmlformats.org/officeDocument/2006/relationships/image" Target="../media/image63.wmf"/><Relationship Id="rId5" Type="http://schemas.openxmlformats.org/officeDocument/2006/relationships/image" Target="../media/image60.emf"/><Relationship Id="rId10" Type="http://schemas.openxmlformats.org/officeDocument/2006/relationships/oleObject" Target="../embeddings/oleObject23.bin"/><Relationship Id="rId4" Type="http://schemas.openxmlformats.org/officeDocument/2006/relationships/oleObject" Target="../embeddings/oleObject20.bin"/><Relationship Id="rId9" Type="http://schemas.openxmlformats.org/officeDocument/2006/relationships/image" Target="../media/image62.wmf"/></Relationships>
</file>

<file path=xl/worksheets/_rels/sheet43.xml.rels><?xml version="1.0" encoding="UTF-8" standalone="yes"?>
<Relationships xmlns="http://schemas.openxmlformats.org/package/2006/relationships"><Relationship Id="rId8" Type="http://schemas.openxmlformats.org/officeDocument/2006/relationships/oleObject" Target="../embeddings/oleObject26.bin"/><Relationship Id="rId3" Type="http://schemas.openxmlformats.org/officeDocument/2006/relationships/vmlDrawing" Target="../drawings/vmlDrawing34.vml"/><Relationship Id="rId7" Type="http://schemas.openxmlformats.org/officeDocument/2006/relationships/image" Target="../media/image58.wmf"/><Relationship Id="rId12" Type="http://schemas.openxmlformats.org/officeDocument/2006/relationships/comments" Target="../comments27.xml"/><Relationship Id="rId2" Type="http://schemas.openxmlformats.org/officeDocument/2006/relationships/drawing" Target="../drawings/drawing34.xml"/><Relationship Id="rId1" Type="http://schemas.openxmlformats.org/officeDocument/2006/relationships/printerSettings" Target="../printerSettings/printerSettings37.bin"/><Relationship Id="rId6" Type="http://schemas.openxmlformats.org/officeDocument/2006/relationships/oleObject" Target="../embeddings/oleObject25.bin"/><Relationship Id="rId11" Type="http://schemas.openxmlformats.org/officeDocument/2006/relationships/image" Target="../media/image67.wmf"/><Relationship Id="rId5" Type="http://schemas.openxmlformats.org/officeDocument/2006/relationships/image" Target="../media/image65.emf"/><Relationship Id="rId10" Type="http://schemas.openxmlformats.org/officeDocument/2006/relationships/oleObject" Target="../embeddings/oleObject27.bin"/><Relationship Id="rId4" Type="http://schemas.openxmlformats.org/officeDocument/2006/relationships/oleObject" Target="../embeddings/oleObject24.bin"/><Relationship Id="rId9" Type="http://schemas.openxmlformats.org/officeDocument/2006/relationships/image" Target="../media/image66.emf"/></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5.xml"/><Relationship Id="rId1" Type="http://schemas.openxmlformats.org/officeDocument/2006/relationships/printerSettings" Target="../printerSettings/printerSettings38.bin"/><Relationship Id="rId5" Type="http://schemas.openxmlformats.org/officeDocument/2006/relationships/comments" Target="../comments28.xml"/><Relationship Id="rId4" Type="http://schemas.openxmlformats.org/officeDocument/2006/relationships/ctrlProp" Target="../ctrlProps/ctrlProp17.xml"/></Relationships>
</file>

<file path=xl/worksheets/_rels/sheet45.xml.rels><?xml version="1.0" encoding="UTF-8" standalone="yes"?>
<Relationships xmlns="http://schemas.openxmlformats.org/package/2006/relationships"><Relationship Id="rId8" Type="http://schemas.openxmlformats.org/officeDocument/2006/relationships/oleObject" Target="../embeddings/oleObject30.bin"/><Relationship Id="rId3" Type="http://schemas.openxmlformats.org/officeDocument/2006/relationships/vmlDrawing" Target="../drawings/vmlDrawing36.vml"/><Relationship Id="rId7" Type="http://schemas.openxmlformats.org/officeDocument/2006/relationships/image" Target="../media/image71.wmf"/><Relationship Id="rId12" Type="http://schemas.openxmlformats.org/officeDocument/2006/relationships/comments" Target="../comments29.xml"/><Relationship Id="rId2" Type="http://schemas.openxmlformats.org/officeDocument/2006/relationships/drawing" Target="../drawings/drawing36.xml"/><Relationship Id="rId1" Type="http://schemas.openxmlformats.org/officeDocument/2006/relationships/printerSettings" Target="../printerSettings/printerSettings39.bin"/><Relationship Id="rId6" Type="http://schemas.openxmlformats.org/officeDocument/2006/relationships/oleObject" Target="../embeddings/oleObject29.bin"/><Relationship Id="rId11" Type="http://schemas.openxmlformats.org/officeDocument/2006/relationships/image" Target="../media/image73.wmf"/><Relationship Id="rId5" Type="http://schemas.openxmlformats.org/officeDocument/2006/relationships/image" Target="../media/image70.wmf"/><Relationship Id="rId10" Type="http://schemas.openxmlformats.org/officeDocument/2006/relationships/oleObject" Target="../embeddings/oleObject31.bin"/><Relationship Id="rId4" Type="http://schemas.openxmlformats.org/officeDocument/2006/relationships/oleObject" Target="../embeddings/oleObject28.bin"/><Relationship Id="rId9" Type="http://schemas.openxmlformats.org/officeDocument/2006/relationships/image" Target="../media/image72.emf"/></Relationships>
</file>

<file path=xl/worksheets/_rels/sheet46.xml.rels><?xml version="1.0" encoding="UTF-8" standalone="yes"?>
<Relationships xmlns="http://schemas.openxmlformats.org/package/2006/relationships"><Relationship Id="rId8" Type="http://schemas.openxmlformats.org/officeDocument/2006/relationships/oleObject" Target="../embeddings/oleObject34.bin"/><Relationship Id="rId3" Type="http://schemas.openxmlformats.org/officeDocument/2006/relationships/vmlDrawing" Target="../drawings/vmlDrawing37.vml"/><Relationship Id="rId7" Type="http://schemas.openxmlformats.org/officeDocument/2006/relationships/image" Target="../media/image76.wmf"/><Relationship Id="rId12" Type="http://schemas.openxmlformats.org/officeDocument/2006/relationships/comments" Target="../comments30.xml"/><Relationship Id="rId2" Type="http://schemas.openxmlformats.org/officeDocument/2006/relationships/drawing" Target="../drawings/drawing37.xml"/><Relationship Id="rId1" Type="http://schemas.openxmlformats.org/officeDocument/2006/relationships/printerSettings" Target="../printerSettings/printerSettings40.bin"/><Relationship Id="rId6" Type="http://schemas.openxmlformats.org/officeDocument/2006/relationships/oleObject" Target="../embeddings/oleObject33.bin"/><Relationship Id="rId11" Type="http://schemas.openxmlformats.org/officeDocument/2006/relationships/image" Target="../media/image78.emf"/><Relationship Id="rId5" Type="http://schemas.openxmlformats.org/officeDocument/2006/relationships/image" Target="../media/image75.emf"/><Relationship Id="rId10" Type="http://schemas.openxmlformats.org/officeDocument/2006/relationships/oleObject" Target="../embeddings/oleObject35.bin"/><Relationship Id="rId4" Type="http://schemas.openxmlformats.org/officeDocument/2006/relationships/oleObject" Target="../embeddings/oleObject32.bin"/><Relationship Id="rId9" Type="http://schemas.openxmlformats.org/officeDocument/2006/relationships/image" Target="../media/image77.wmf"/></Relationships>
</file>

<file path=xl/worksheets/_rels/sheet47.xml.rels><?xml version="1.0" encoding="UTF-8" standalone="yes"?>
<Relationships xmlns="http://schemas.openxmlformats.org/package/2006/relationships"><Relationship Id="rId8" Type="http://schemas.openxmlformats.org/officeDocument/2006/relationships/oleObject" Target="../embeddings/oleObject38.bin"/><Relationship Id="rId3" Type="http://schemas.openxmlformats.org/officeDocument/2006/relationships/vmlDrawing" Target="../drawings/vmlDrawing38.vml"/><Relationship Id="rId7" Type="http://schemas.openxmlformats.org/officeDocument/2006/relationships/image" Target="../media/image81.emf"/><Relationship Id="rId12" Type="http://schemas.openxmlformats.org/officeDocument/2006/relationships/comments" Target="../comments31.xml"/><Relationship Id="rId2" Type="http://schemas.openxmlformats.org/officeDocument/2006/relationships/drawing" Target="../drawings/drawing38.xml"/><Relationship Id="rId1" Type="http://schemas.openxmlformats.org/officeDocument/2006/relationships/printerSettings" Target="../printerSettings/printerSettings41.bin"/><Relationship Id="rId6" Type="http://schemas.openxmlformats.org/officeDocument/2006/relationships/oleObject" Target="../embeddings/oleObject37.bin"/><Relationship Id="rId11" Type="http://schemas.openxmlformats.org/officeDocument/2006/relationships/image" Target="../media/image83.emf"/><Relationship Id="rId5" Type="http://schemas.openxmlformats.org/officeDocument/2006/relationships/image" Target="../media/image80.emf"/><Relationship Id="rId10" Type="http://schemas.openxmlformats.org/officeDocument/2006/relationships/oleObject" Target="../embeddings/oleObject39.bin"/><Relationship Id="rId4" Type="http://schemas.openxmlformats.org/officeDocument/2006/relationships/oleObject" Target="../embeddings/oleObject36.bin"/><Relationship Id="rId9" Type="http://schemas.openxmlformats.org/officeDocument/2006/relationships/image" Target="../media/image82.emf"/></Relationships>
</file>

<file path=xl/worksheets/_rels/sheet48.xml.rels><?xml version="1.0" encoding="UTF-8" standalone="yes"?>
<Relationships xmlns="http://schemas.openxmlformats.org/package/2006/relationships"><Relationship Id="rId8" Type="http://schemas.openxmlformats.org/officeDocument/2006/relationships/oleObject" Target="../embeddings/oleObject42.bin"/><Relationship Id="rId3" Type="http://schemas.openxmlformats.org/officeDocument/2006/relationships/vmlDrawing" Target="../drawings/vmlDrawing39.vml"/><Relationship Id="rId7" Type="http://schemas.openxmlformats.org/officeDocument/2006/relationships/image" Target="../media/image85.emf"/><Relationship Id="rId12" Type="http://schemas.openxmlformats.org/officeDocument/2006/relationships/comments" Target="../comments32.xml"/><Relationship Id="rId2" Type="http://schemas.openxmlformats.org/officeDocument/2006/relationships/drawing" Target="../drawings/drawing39.xml"/><Relationship Id="rId1" Type="http://schemas.openxmlformats.org/officeDocument/2006/relationships/printerSettings" Target="../printerSettings/printerSettings42.bin"/><Relationship Id="rId6" Type="http://schemas.openxmlformats.org/officeDocument/2006/relationships/oleObject" Target="../embeddings/oleObject41.bin"/><Relationship Id="rId11" Type="http://schemas.openxmlformats.org/officeDocument/2006/relationships/image" Target="../media/image87.emf"/><Relationship Id="rId5" Type="http://schemas.openxmlformats.org/officeDocument/2006/relationships/image" Target="../media/image57.emf"/><Relationship Id="rId10" Type="http://schemas.openxmlformats.org/officeDocument/2006/relationships/oleObject" Target="../embeddings/oleObject43.bin"/><Relationship Id="rId4" Type="http://schemas.openxmlformats.org/officeDocument/2006/relationships/oleObject" Target="../embeddings/oleObject40.bin"/><Relationship Id="rId9" Type="http://schemas.openxmlformats.org/officeDocument/2006/relationships/image" Target="../media/image86.emf"/></Relationships>
</file>

<file path=xl/worksheets/_rels/sheet49.xml.rels><?xml version="1.0" encoding="UTF-8" standalone="yes"?>
<Relationships xmlns="http://schemas.openxmlformats.org/package/2006/relationships"><Relationship Id="rId8" Type="http://schemas.openxmlformats.org/officeDocument/2006/relationships/oleObject" Target="../embeddings/oleObject46.bin"/><Relationship Id="rId13" Type="http://schemas.openxmlformats.org/officeDocument/2006/relationships/image" Target="../media/image91.emf"/><Relationship Id="rId3" Type="http://schemas.openxmlformats.org/officeDocument/2006/relationships/vmlDrawing" Target="../drawings/vmlDrawing40.vml"/><Relationship Id="rId7" Type="http://schemas.openxmlformats.org/officeDocument/2006/relationships/image" Target="../media/image60.emf"/><Relationship Id="rId12" Type="http://schemas.openxmlformats.org/officeDocument/2006/relationships/oleObject" Target="../embeddings/oleObject48.bin"/><Relationship Id="rId2" Type="http://schemas.openxmlformats.org/officeDocument/2006/relationships/drawing" Target="../drawings/drawing40.xml"/><Relationship Id="rId1" Type="http://schemas.openxmlformats.org/officeDocument/2006/relationships/printerSettings" Target="../printerSettings/printerSettings43.bin"/><Relationship Id="rId6" Type="http://schemas.openxmlformats.org/officeDocument/2006/relationships/oleObject" Target="../embeddings/oleObject45.bin"/><Relationship Id="rId11" Type="http://schemas.openxmlformats.org/officeDocument/2006/relationships/image" Target="../media/image90.emf"/><Relationship Id="rId5" Type="http://schemas.openxmlformats.org/officeDocument/2006/relationships/image" Target="../media/image57.emf"/><Relationship Id="rId10" Type="http://schemas.openxmlformats.org/officeDocument/2006/relationships/oleObject" Target="../embeddings/oleObject47.bin"/><Relationship Id="rId4" Type="http://schemas.openxmlformats.org/officeDocument/2006/relationships/oleObject" Target="../embeddings/oleObject44.bin"/><Relationship Id="rId9" Type="http://schemas.openxmlformats.org/officeDocument/2006/relationships/image" Target="../media/image89.emf"/><Relationship Id="rId14" Type="http://schemas.openxmlformats.org/officeDocument/2006/relationships/comments" Target="../comments3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8" Type="http://schemas.openxmlformats.org/officeDocument/2006/relationships/oleObject" Target="../embeddings/oleObject51.bin"/><Relationship Id="rId13" Type="http://schemas.openxmlformats.org/officeDocument/2006/relationships/image" Target="../media/image93.emf"/><Relationship Id="rId3" Type="http://schemas.openxmlformats.org/officeDocument/2006/relationships/vmlDrawing" Target="../drawings/vmlDrawing41.vml"/><Relationship Id="rId7" Type="http://schemas.openxmlformats.org/officeDocument/2006/relationships/image" Target="../media/image60.emf"/><Relationship Id="rId12" Type="http://schemas.openxmlformats.org/officeDocument/2006/relationships/oleObject" Target="../embeddings/oleObject53.bin"/><Relationship Id="rId2" Type="http://schemas.openxmlformats.org/officeDocument/2006/relationships/drawing" Target="../drawings/drawing41.xml"/><Relationship Id="rId16" Type="http://schemas.openxmlformats.org/officeDocument/2006/relationships/comments" Target="../comments34.xml"/><Relationship Id="rId1" Type="http://schemas.openxmlformats.org/officeDocument/2006/relationships/printerSettings" Target="../printerSettings/printerSettings44.bin"/><Relationship Id="rId6" Type="http://schemas.openxmlformats.org/officeDocument/2006/relationships/oleObject" Target="../embeddings/oleObject50.bin"/><Relationship Id="rId11" Type="http://schemas.openxmlformats.org/officeDocument/2006/relationships/image" Target="../media/image92.emf"/><Relationship Id="rId5" Type="http://schemas.openxmlformats.org/officeDocument/2006/relationships/image" Target="../media/image57.emf"/><Relationship Id="rId15" Type="http://schemas.openxmlformats.org/officeDocument/2006/relationships/image" Target="../media/image94.emf"/><Relationship Id="rId10" Type="http://schemas.openxmlformats.org/officeDocument/2006/relationships/oleObject" Target="../embeddings/oleObject52.bin"/><Relationship Id="rId4" Type="http://schemas.openxmlformats.org/officeDocument/2006/relationships/oleObject" Target="../embeddings/oleObject49.bin"/><Relationship Id="rId9" Type="http://schemas.openxmlformats.org/officeDocument/2006/relationships/image" Target="../media/image91.emf"/><Relationship Id="rId14" Type="http://schemas.openxmlformats.org/officeDocument/2006/relationships/oleObject" Target="../embeddings/oleObject54.bin"/></Relationships>
</file>

<file path=xl/worksheets/_rels/sheet51.xml.rels><?xml version="1.0" encoding="UTF-8" standalone="yes"?>
<Relationships xmlns="http://schemas.openxmlformats.org/package/2006/relationships"><Relationship Id="rId8" Type="http://schemas.openxmlformats.org/officeDocument/2006/relationships/oleObject" Target="../embeddings/oleObject57.bin"/><Relationship Id="rId13" Type="http://schemas.openxmlformats.org/officeDocument/2006/relationships/image" Target="../media/image98.emf"/><Relationship Id="rId3" Type="http://schemas.openxmlformats.org/officeDocument/2006/relationships/vmlDrawing" Target="../drawings/vmlDrawing42.vml"/><Relationship Id="rId7" Type="http://schemas.openxmlformats.org/officeDocument/2006/relationships/image" Target="../media/image95.emf"/><Relationship Id="rId12" Type="http://schemas.openxmlformats.org/officeDocument/2006/relationships/oleObject" Target="../embeddings/oleObject59.bin"/><Relationship Id="rId2" Type="http://schemas.openxmlformats.org/officeDocument/2006/relationships/drawing" Target="../drawings/drawing42.xml"/><Relationship Id="rId1" Type="http://schemas.openxmlformats.org/officeDocument/2006/relationships/printerSettings" Target="../printerSettings/printerSettings45.bin"/><Relationship Id="rId6" Type="http://schemas.openxmlformats.org/officeDocument/2006/relationships/oleObject" Target="../embeddings/oleObject56.bin"/><Relationship Id="rId11" Type="http://schemas.openxmlformats.org/officeDocument/2006/relationships/image" Target="../media/image97.emf"/><Relationship Id="rId5" Type="http://schemas.openxmlformats.org/officeDocument/2006/relationships/image" Target="../media/image57.emf"/><Relationship Id="rId10" Type="http://schemas.openxmlformats.org/officeDocument/2006/relationships/oleObject" Target="../embeddings/oleObject58.bin"/><Relationship Id="rId4" Type="http://schemas.openxmlformats.org/officeDocument/2006/relationships/oleObject" Target="../embeddings/oleObject55.bin"/><Relationship Id="rId9" Type="http://schemas.openxmlformats.org/officeDocument/2006/relationships/image" Target="../media/image96.emf"/><Relationship Id="rId14" Type="http://schemas.openxmlformats.org/officeDocument/2006/relationships/comments" Target="../comments35.xml"/></Relationships>
</file>

<file path=xl/worksheets/_rels/sheet52.xml.rels><?xml version="1.0" encoding="UTF-8" standalone="yes"?>
<Relationships xmlns="http://schemas.openxmlformats.org/package/2006/relationships"><Relationship Id="rId8" Type="http://schemas.openxmlformats.org/officeDocument/2006/relationships/oleObject" Target="../embeddings/oleObject62.bin"/><Relationship Id="rId13" Type="http://schemas.openxmlformats.org/officeDocument/2006/relationships/image" Target="../media/image100.emf"/><Relationship Id="rId3" Type="http://schemas.openxmlformats.org/officeDocument/2006/relationships/vmlDrawing" Target="../drawings/vmlDrawing43.vml"/><Relationship Id="rId7" Type="http://schemas.openxmlformats.org/officeDocument/2006/relationships/image" Target="../media/image95.emf"/><Relationship Id="rId12" Type="http://schemas.openxmlformats.org/officeDocument/2006/relationships/oleObject" Target="../embeddings/oleObject64.bin"/><Relationship Id="rId2" Type="http://schemas.openxmlformats.org/officeDocument/2006/relationships/drawing" Target="../drawings/drawing43.xml"/><Relationship Id="rId16" Type="http://schemas.openxmlformats.org/officeDocument/2006/relationships/comments" Target="../comments36.xml"/><Relationship Id="rId1" Type="http://schemas.openxmlformats.org/officeDocument/2006/relationships/printerSettings" Target="../printerSettings/printerSettings46.bin"/><Relationship Id="rId6" Type="http://schemas.openxmlformats.org/officeDocument/2006/relationships/oleObject" Target="../embeddings/oleObject61.bin"/><Relationship Id="rId11" Type="http://schemas.openxmlformats.org/officeDocument/2006/relationships/image" Target="../media/image99.emf"/><Relationship Id="rId5" Type="http://schemas.openxmlformats.org/officeDocument/2006/relationships/image" Target="../media/image57.emf"/><Relationship Id="rId15" Type="http://schemas.openxmlformats.org/officeDocument/2006/relationships/image" Target="../media/image97.emf"/><Relationship Id="rId10" Type="http://schemas.openxmlformats.org/officeDocument/2006/relationships/oleObject" Target="../embeddings/oleObject63.bin"/><Relationship Id="rId4" Type="http://schemas.openxmlformats.org/officeDocument/2006/relationships/oleObject" Target="../embeddings/oleObject60.bin"/><Relationship Id="rId9" Type="http://schemas.openxmlformats.org/officeDocument/2006/relationships/image" Target="../media/image96.emf"/><Relationship Id="rId14" Type="http://schemas.openxmlformats.org/officeDocument/2006/relationships/oleObject" Target="../embeddings/oleObject65.bin"/></Relationships>
</file>

<file path=xl/worksheets/_rels/sheet53.xml.rels><?xml version="1.0" encoding="UTF-8" standalone="yes"?>
<Relationships xmlns="http://schemas.openxmlformats.org/package/2006/relationships"><Relationship Id="rId8" Type="http://schemas.openxmlformats.org/officeDocument/2006/relationships/oleObject" Target="../embeddings/oleObject68.bin"/><Relationship Id="rId3" Type="http://schemas.openxmlformats.org/officeDocument/2006/relationships/vmlDrawing" Target="../drawings/vmlDrawing44.vml"/><Relationship Id="rId7" Type="http://schemas.openxmlformats.org/officeDocument/2006/relationships/image" Target="../media/image57.emf"/><Relationship Id="rId12" Type="http://schemas.openxmlformats.org/officeDocument/2006/relationships/comments" Target="../comments37.xml"/><Relationship Id="rId2" Type="http://schemas.openxmlformats.org/officeDocument/2006/relationships/drawing" Target="../drawings/drawing44.xml"/><Relationship Id="rId1" Type="http://schemas.openxmlformats.org/officeDocument/2006/relationships/printerSettings" Target="../printerSettings/printerSettings47.bin"/><Relationship Id="rId6" Type="http://schemas.openxmlformats.org/officeDocument/2006/relationships/oleObject" Target="../embeddings/oleObject67.bin"/><Relationship Id="rId11" Type="http://schemas.openxmlformats.org/officeDocument/2006/relationships/image" Target="../media/image102.emf"/><Relationship Id="rId5" Type="http://schemas.openxmlformats.org/officeDocument/2006/relationships/image" Target="../media/image56.wmf"/><Relationship Id="rId10" Type="http://schemas.openxmlformats.org/officeDocument/2006/relationships/oleObject" Target="../embeddings/oleObject69.bin"/><Relationship Id="rId4" Type="http://schemas.openxmlformats.org/officeDocument/2006/relationships/oleObject" Target="../embeddings/oleObject66.bin"/><Relationship Id="rId9" Type="http://schemas.openxmlformats.org/officeDocument/2006/relationships/image" Target="../media/image101.emf"/></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5.xml"/><Relationship Id="rId1" Type="http://schemas.openxmlformats.org/officeDocument/2006/relationships/printerSettings" Target="../printerSettings/printerSettings48.bin"/><Relationship Id="rId5" Type="http://schemas.openxmlformats.org/officeDocument/2006/relationships/comments" Target="../comments38.xml"/><Relationship Id="rId4" Type="http://schemas.openxmlformats.org/officeDocument/2006/relationships/ctrlProp" Target="../ctrlProps/ctrlProp18.xml"/></Relationships>
</file>

<file path=xl/worksheets/_rels/sheet56.xml.rels><?xml version="1.0" encoding="UTF-8" standalone="yes"?>
<Relationships xmlns="http://schemas.openxmlformats.org/package/2006/relationships"><Relationship Id="rId8" Type="http://schemas.openxmlformats.org/officeDocument/2006/relationships/oleObject" Target="../embeddings/oleObject72.bin"/><Relationship Id="rId13" Type="http://schemas.openxmlformats.org/officeDocument/2006/relationships/image" Target="../media/image107.wmf"/><Relationship Id="rId3" Type="http://schemas.openxmlformats.org/officeDocument/2006/relationships/vmlDrawing" Target="../drawings/vmlDrawing46.vml"/><Relationship Id="rId7" Type="http://schemas.openxmlformats.org/officeDocument/2006/relationships/image" Target="../media/image60.emf"/><Relationship Id="rId12" Type="http://schemas.openxmlformats.org/officeDocument/2006/relationships/oleObject" Target="../embeddings/oleObject74.bin"/><Relationship Id="rId2" Type="http://schemas.openxmlformats.org/officeDocument/2006/relationships/drawing" Target="../drawings/drawing46.xml"/><Relationship Id="rId1" Type="http://schemas.openxmlformats.org/officeDocument/2006/relationships/printerSettings" Target="../printerSettings/printerSettings49.bin"/><Relationship Id="rId6" Type="http://schemas.openxmlformats.org/officeDocument/2006/relationships/oleObject" Target="../embeddings/oleObject71.bin"/><Relationship Id="rId11" Type="http://schemas.openxmlformats.org/officeDocument/2006/relationships/image" Target="../media/image106.emf"/><Relationship Id="rId5" Type="http://schemas.openxmlformats.org/officeDocument/2006/relationships/image" Target="../media/image57.emf"/><Relationship Id="rId10" Type="http://schemas.openxmlformats.org/officeDocument/2006/relationships/oleObject" Target="../embeddings/oleObject73.bin"/><Relationship Id="rId4" Type="http://schemas.openxmlformats.org/officeDocument/2006/relationships/oleObject" Target="../embeddings/oleObject70.bin"/><Relationship Id="rId9" Type="http://schemas.openxmlformats.org/officeDocument/2006/relationships/image" Target="../media/image105.emf"/><Relationship Id="rId14" Type="http://schemas.openxmlformats.org/officeDocument/2006/relationships/comments" Target="../comments39.xml"/></Relationships>
</file>

<file path=xl/worksheets/_rels/sheet57.xml.rels><?xml version="1.0" encoding="UTF-8" standalone="yes"?>
<Relationships xmlns="http://schemas.openxmlformats.org/package/2006/relationships"><Relationship Id="rId8" Type="http://schemas.openxmlformats.org/officeDocument/2006/relationships/image" Target="../media/image62.wmf"/><Relationship Id="rId3" Type="http://schemas.openxmlformats.org/officeDocument/2006/relationships/oleObject" Target="../embeddings/oleObject75.bin"/><Relationship Id="rId7" Type="http://schemas.openxmlformats.org/officeDocument/2006/relationships/oleObject" Target="../embeddings/oleObject77.bin"/><Relationship Id="rId2" Type="http://schemas.openxmlformats.org/officeDocument/2006/relationships/vmlDrawing" Target="../drawings/vmlDrawing47.vml"/><Relationship Id="rId1" Type="http://schemas.openxmlformats.org/officeDocument/2006/relationships/drawing" Target="../drawings/drawing47.xml"/><Relationship Id="rId6" Type="http://schemas.openxmlformats.org/officeDocument/2006/relationships/image" Target="../media/image61.wmf"/><Relationship Id="rId11" Type="http://schemas.openxmlformats.org/officeDocument/2006/relationships/comments" Target="../comments40.xml"/><Relationship Id="rId5" Type="http://schemas.openxmlformats.org/officeDocument/2006/relationships/oleObject" Target="../embeddings/oleObject76.bin"/><Relationship Id="rId10" Type="http://schemas.openxmlformats.org/officeDocument/2006/relationships/image" Target="../media/image63.wmf"/><Relationship Id="rId4" Type="http://schemas.openxmlformats.org/officeDocument/2006/relationships/image" Target="../media/image60.emf"/><Relationship Id="rId9" Type="http://schemas.openxmlformats.org/officeDocument/2006/relationships/oleObject" Target="../embeddings/oleObject78.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E20"/>
  <sheetViews>
    <sheetView workbookViewId="0">
      <selection activeCell="C7" sqref="C7"/>
    </sheetView>
  </sheetViews>
  <sheetFormatPr baseColWidth="10" defaultRowHeight="12.9"/>
  <cols>
    <col min="1" max="1" width="8.375" customWidth="1"/>
    <col min="2" max="2" width="12.25" customWidth="1"/>
    <col min="3" max="3" width="98.75" customWidth="1"/>
  </cols>
  <sheetData>
    <row r="1" spans="1:5" s="117" customFormat="1" ht="28.55" customHeight="1">
      <c r="B1" s="1248" t="s">
        <v>469</v>
      </c>
      <c r="C1" s="1249"/>
    </row>
    <row r="2" spans="1:5" s="117" customFormat="1" ht="12.1" customHeight="1"/>
    <row r="3" spans="1:5" s="117" customFormat="1" ht="12.1" customHeight="1"/>
    <row r="4" spans="1:5" s="117" customFormat="1" ht="12.1" customHeight="1">
      <c r="A4" s="382"/>
      <c r="B4" s="909"/>
      <c r="C4" s="921"/>
      <c r="E4" s="343"/>
    </row>
    <row r="5" spans="1:5" s="117" customFormat="1" ht="16.5" customHeight="1">
      <c r="A5" s="382"/>
      <c r="B5" s="936" t="s">
        <v>869</v>
      </c>
      <c r="C5" s="922" t="s">
        <v>397</v>
      </c>
      <c r="E5" s="343"/>
    </row>
    <row r="6" spans="1:5" ht="16.5" customHeight="1">
      <c r="A6" s="383"/>
      <c r="B6" s="937"/>
      <c r="C6" s="921"/>
      <c r="E6" s="344"/>
    </row>
    <row r="7" spans="1:5" ht="16.5" customHeight="1">
      <c r="A7" s="383"/>
      <c r="B7" s="938" t="s">
        <v>618</v>
      </c>
      <c r="C7" s="923" t="s">
        <v>871</v>
      </c>
      <c r="E7" s="344"/>
    </row>
    <row r="8" spans="1:5" ht="16.5" customHeight="1">
      <c r="A8" s="383"/>
      <c r="B8" s="937"/>
      <c r="C8" s="921"/>
      <c r="E8" s="344"/>
    </row>
    <row r="9" spans="1:5" ht="16.5" customHeight="1">
      <c r="A9" s="383"/>
      <c r="B9" s="939" t="s">
        <v>869</v>
      </c>
      <c r="C9" s="924" t="s">
        <v>1145</v>
      </c>
      <c r="E9" s="344"/>
    </row>
    <row r="10" spans="1:5" ht="16.5" customHeight="1">
      <c r="A10" s="383"/>
      <c r="B10" s="937"/>
      <c r="C10" s="921"/>
      <c r="E10" s="344"/>
    </row>
    <row r="11" spans="1:5" ht="16.5" customHeight="1">
      <c r="A11" s="383"/>
      <c r="B11" s="940"/>
      <c r="C11" s="925"/>
      <c r="E11" s="344"/>
    </row>
    <row r="12" spans="1:5" ht="16.5" customHeight="1">
      <c r="A12" s="383"/>
      <c r="B12" s="937"/>
      <c r="C12" s="908"/>
    </row>
    <row r="13" spans="1:5" ht="16.5" customHeight="1">
      <c r="A13" s="383"/>
      <c r="B13" s="942"/>
      <c r="C13" s="943"/>
      <c r="E13" s="344"/>
    </row>
    <row r="14" spans="1:5" ht="16.5" customHeight="1"/>
    <row r="15" spans="1:5" ht="16.5" customHeight="1">
      <c r="A15" s="383"/>
      <c r="B15" s="941"/>
      <c r="C15" s="935"/>
      <c r="E15" s="344"/>
    </row>
    <row r="16" spans="1:5">
      <c r="C16" s="101"/>
    </row>
    <row r="17" spans="1:5" ht="16.5" customHeight="1">
      <c r="A17" s="383"/>
      <c r="B17" s="946"/>
      <c r="C17" s="947"/>
      <c r="E17" s="344"/>
    </row>
    <row r="20" spans="1:5" ht="15.65">
      <c r="B20" s="1250"/>
      <c r="C20" s="1251"/>
    </row>
  </sheetData>
  <mergeCells count="2">
    <mergeCell ref="B1:C1"/>
    <mergeCell ref="B20:C20"/>
  </mergeCells>
  <phoneticPr fontId="2" type="noConversion"/>
  <hyperlinks>
    <hyperlink ref="C5" location="'M1'!A1" display="RECHERCHE DES COEFFICIENTS EC5"/>
    <hyperlink ref="C7" location="'M2'!A1" display=" VERIFICATIONS DES SECTIONS"/>
    <hyperlink ref="C9" location="'M3'!A1" display="VERIFICATIONS DES ASSEMBLAGES "/>
  </hyperlinks>
  <pageMargins left="0.78740157499999996" right="0.78740157499999996" top="0.984251969" bottom="0.984251969" header="0.4921259845" footer="0.4921259845"/>
  <pageSetup paperSize="9" orientation="portrait" horizontalDpi="4294967293"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47"/>
  <sheetViews>
    <sheetView showGridLines="0" zoomScale="130" workbookViewId="0">
      <selection activeCell="K17" sqref="K17:N17"/>
    </sheetView>
  </sheetViews>
  <sheetFormatPr baseColWidth="10" defaultRowHeight="12.9"/>
  <cols>
    <col min="1" max="1" width="7.125" customWidth="1"/>
    <col min="2" max="3" width="8.25" customWidth="1"/>
    <col min="4" max="4" width="5.375" customWidth="1"/>
    <col min="5" max="5" width="5.25" customWidth="1"/>
    <col min="6" max="6" width="11.75" customWidth="1"/>
    <col min="7" max="7" width="6.625" customWidth="1"/>
    <col min="8" max="8" width="4.625" customWidth="1"/>
    <col min="9" max="9" width="6.25" customWidth="1"/>
    <col min="10" max="10" width="6" customWidth="1"/>
    <col min="11" max="11" width="4.375" customWidth="1"/>
    <col min="12" max="12" width="8.25" customWidth="1"/>
    <col min="13" max="13" width="5.75" customWidth="1"/>
    <col min="14" max="16" width="8.25" customWidth="1"/>
    <col min="17" max="21" width="6.25" customWidth="1"/>
  </cols>
  <sheetData>
    <row r="1" spans="1:21" ht="19.05" thickBot="1">
      <c r="A1" s="1345" t="s">
        <v>781</v>
      </c>
      <c r="B1" s="1346"/>
      <c r="C1" s="1346"/>
      <c r="D1" s="1346"/>
      <c r="E1" s="1346"/>
      <c r="F1" s="1346"/>
      <c r="G1" s="1346"/>
      <c r="H1" s="1346"/>
      <c r="I1" s="1346"/>
      <c r="J1" s="1346"/>
      <c r="K1" s="1346"/>
      <c r="L1" s="1346"/>
      <c r="M1" s="1346"/>
      <c r="N1" s="1346"/>
      <c r="O1" s="1346"/>
      <c r="P1" s="1346"/>
      <c r="Q1" s="1347"/>
      <c r="R1" s="1348"/>
      <c r="S1" s="1348"/>
      <c r="T1" s="1348"/>
      <c r="U1" s="1349"/>
    </row>
    <row r="2" spans="1:21">
      <c r="A2" s="815" t="s">
        <v>782</v>
      </c>
      <c r="R2" s="816" t="s">
        <v>783</v>
      </c>
      <c r="S2" s="755"/>
      <c r="T2" s="755"/>
      <c r="U2" s="759"/>
    </row>
    <row r="3" spans="1:21" ht="15.65">
      <c r="A3" s="1344" t="s">
        <v>805</v>
      </c>
      <c r="B3" s="1369"/>
      <c r="C3" s="1369"/>
      <c r="D3" s="1369"/>
      <c r="E3" s="1369"/>
      <c r="F3" s="1369"/>
      <c r="G3" s="1369"/>
      <c r="H3" s="1370"/>
      <c r="K3" s="1364" t="s">
        <v>730</v>
      </c>
      <c r="L3" s="817" t="s">
        <v>437</v>
      </c>
      <c r="M3" s="818"/>
      <c r="N3" s="818"/>
      <c r="O3" s="818"/>
      <c r="P3" s="819"/>
      <c r="R3" s="820" t="s">
        <v>784</v>
      </c>
      <c r="S3" s="287"/>
      <c r="T3" s="287"/>
      <c r="U3" s="762"/>
    </row>
    <row r="4" spans="1:21" ht="16.3">
      <c r="A4" s="821" t="s">
        <v>785</v>
      </c>
      <c r="B4" s="75"/>
      <c r="C4" s="822"/>
      <c r="D4" s="75"/>
      <c r="E4" s="75"/>
      <c r="F4" s="75"/>
      <c r="G4" s="823" t="s">
        <v>786</v>
      </c>
      <c r="H4" s="823" t="s">
        <v>806</v>
      </c>
      <c r="K4" s="1335"/>
      <c r="L4" s="824"/>
      <c r="M4" s="824"/>
      <c r="N4" s="824"/>
      <c r="O4" s="824"/>
      <c r="P4" s="825"/>
      <c r="R4" s="826" t="s">
        <v>787</v>
      </c>
      <c r="S4" s="768"/>
      <c r="T4" s="768"/>
      <c r="U4" s="772"/>
    </row>
    <row r="5" spans="1:21" ht="15.65">
      <c r="A5" s="661" t="s">
        <v>702</v>
      </c>
      <c r="B5" s="450"/>
      <c r="C5" s="773"/>
      <c r="D5" s="774"/>
      <c r="E5" s="775"/>
      <c r="F5" s="450"/>
      <c r="G5" s="827">
        <v>0.7</v>
      </c>
      <c r="H5" s="828">
        <v>0.3</v>
      </c>
      <c r="K5" s="829"/>
      <c r="L5" s="829"/>
      <c r="M5" s="829"/>
      <c r="N5" s="829"/>
      <c r="O5" s="829"/>
      <c r="P5" s="830"/>
    </row>
    <row r="6" spans="1:21" ht="13.6">
      <c r="A6" s="667" t="s">
        <v>707</v>
      </c>
      <c r="B6" s="450"/>
      <c r="C6" s="773"/>
      <c r="D6" s="774"/>
      <c r="E6" s="775"/>
      <c r="F6" s="450"/>
      <c r="G6" s="827">
        <v>0.7</v>
      </c>
      <c r="H6" s="828">
        <v>0.3</v>
      </c>
      <c r="K6" s="1321" t="s">
        <v>734</v>
      </c>
      <c r="L6" s="1365" t="s">
        <v>788</v>
      </c>
      <c r="M6" s="1269"/>
      <c r="N6" s="1269"/>
      <c r="O6" s="1269"/>
      <c r="P6" s="1270"/>
    </row>
    <row r="7" spans="1:21" ht="15.65">
      <c r="A7" s="667" t="s">
        <v>713</v>
      </c>
      <c r="B7" s="450"/>
      <c r="C7" s="773"/>
      <c r="D7" s="774"/>
      <c r="E7" s="775"/>
      <c r="F7" s="450"/>
      <c r="G7" s="827">
        <v>0.7</v>
      </c>
      <c r="H7" s="828">
        <v>0.6</v>
      </c>
      <c r="K7" s="1296"/>
      <c r="L7" s="831"/>
      <c r="M7" s="832"/>
      <c r="N7" s="832"/>
      <c r="O7" s="832"/>
      <c r="P7" s="833"/>
    </row>
    <row r="8" spans="1:21" ht="15.65">
      <c r="A8" s="667" t="s">
        <v>718</v>
      </c>
      <c r="B8" s="450"/>
      <c r="C8" s="773"/>
      <c r="D8" s="774"/>
      <c r="E8" s="775"/>
      <c r="F8" s="450"/>
      <c r="G8" s="827">
        <v>0.7</v>
      </c>
      <c r="H8" s="828">
        <v>0.6</v>
      </c>
      <c r="K8" s="1296"/>
      <c r="L8" s="834"/>
      <c r="M8" s="824"/>
      <c r="N8" s="824"/>
      <c r="O8" s="824"/>
      <c r="P8" s="825"/>
    </row>
    <row r="9" spans="1:21" ht="13.6">
      <c r="A9" s="667" t="s">
        <v>722</v>
      </c>
      <c r="B9" s="450"/>
      <c r="C9" s="773"/>
      <c r="D9" s="774"/>
      <c r="E9" s="775"/>
      <c r="F9" s="450"/>
      <c r="G9" s="827">
        <v>1</v>
      </c>
      <c r="H9" s="828">
        <v>0.8</v>
      </c>
      <c r="K9" s="793"/>
      <c r="L9" s="1365" t="s">
        <v>789</v>
      </c>
      <c r="M9" s="1269"/>
      <c r="N9" s="1269"/>
      <c r="O9" s="1269"/>
      <c r="P9" s="1270"/>
    </row>
    <row r="10" spans="1:21" ht="15.65">
      <c r="A10" s="667" t="s">
        <v>724</v>
      </c>
      <c r="B10" s="450"/>
      <c r="C10" s="773"/>
      <c r="D10" s="774"/>
      <c r="E10" s="775"/>
      <c r="F10" s="450"/>
      <c r="G10" s="827">
        <v>0.7</v>
      </c>
      <c r="H10" s="828">
        <v>0.6</v>
      </c>
      <c r="K10" s="793"/>
      <c r="L10" s="831"/>
      <c r="M10" s="832"/>
      <c r="N10" s="832"/>
      <c r="O10" s="832"/>
      <c r="P10" s="833"/>
    </row>
    <row r="11" spans="1:21" ht="15.65">
      <c r="A11" s="667" t="s">
        <v>790</v>
      </c>
      <c r="B11" s="450"/>
      <c r="C11" s="773"/>
      <c r="D11" s="774"/>
      <c r="E11" s="775"/>
      <c r="F11" s="450"/>
      <c r="G11" s="827">
        <v>0.7</v>
      </c>
      <c r="H11" s="828">
        <v>0.3</v>
      </c>
      <c r="K11" s="835"/>
      <c r="L11" s="834"/>
      <c r="M11" s="824"/>
      <c r="N11" s="824"/>
      <c r="O11" s="824"/>
      <c r="P11" s="825"/>
    </row>
    <row r="12" spans="1:21" ht="13.6">
      <c r="A12" s="667" t="s">
        <v>729</v>
      </c>
      <c r="B12" s="450"/>
      <c r="C12" s="773"/>
      <c r="D12" s="774"/>
      <c r="E12" s="775"/>
      <c r="F12" s="450"/>
      <c r="G12" s="827">
        <v>0</v>
      </c>
      <c r="H12" s="828">
        <v>0</v>
      </c>
    </row>
    <row r="13" spans="1:21">
      <c r="A13" s="1341" t="s">
        <v>791</v>
      </c>
      <c r="B13" s="836" t="s">
        <v>792</v>
      </c>
      <c r="C13" s="837"/>
      <c r="D13" s="838"/>
      <c r="E13" s="839"/>
      <c r="F13" s="840"/>
      <c r="G13" s="827">
        <v>0.7</v>
      </c>
      <c r="H13" s="827">
        <v>0.2</v>
      </c>
      <c r="K13" s="1355" t="s">
        <v>792</v>
      </c>
      <c r="L13" s="1356"/>
      <c r="M13" s="1357"/>
      <c r="N13" s="1358" t="s">
        <v>793</v>
      </c>
      <c r="O13" s="1358"/>
      <c r="P13" s="1359"/>
    </row>
    <row r="14" spans="1:21">
      <c r="A14" s="1342"/>
      <c r="B14" s="841" t="s">
        <v>794</v>
      </c>
      <c r="C14" s="840"/>
      <c r="D14" s="840"/>
      <c r="E14" s="840"/>
      <c r="F14" s="840"/>
      <c r="G14" s="827">
        <v>0.5</v>
      </c>
      <c r="H14" s="827">
        <v>0</v>
      </c>
      <c r="K14" s="1371" t="s">
        <v>794</v>
      </c>
      <c r="L14" s="1372"/>
      <c r="M14" s="1373"/>
      <c r="N14" s="1358" t="s">
        <v>795</v>
      </c>
      <c r="O14" s="1358"/>
      <c r="P14" s="1359"/>
    </row>
    <row r="15" spans="1:21">
      <c r="A15" s="842" t="s">
        <v>796</v>
      </c>
      <c r="B15" s="843"/>
      <c r="C15" s="843"/>
      <c r="D15" s="843"/>
      <c r="E15" s="843"/>
      <c r="F15" s="843"/>
      <c r="G15" s="827">
        <v>0.6</v>
      </c>
      <c r="H15" s="827">
        <v>0</v>
      </c>
    </row>
    <row r="17" spans="1:20" ht="15.65">
      <c r="A17" s="1366" t="s">
        <v>726</v>
      </c>
      <c r="B17" s="1367"/>
      <c r="C17" s="1367"/>
      <c r="D17" s="1367"/>
      <c r="E17" s="1367"/>
      <c r="F17" s="1367"/>
      <c r="G17" s="1368"/>
      <c r="J17" s="2"/>
      <c r="K17" s="1350" t="s">
        <v>867</v>
      </c>
      <c r="L17" s="1351"/>
      <c r="M17" s="1351"/>
      <c r="N17" s="1352"/>
    </row>
    <row r="18" spans="1:20" ht="14.95">
      <c r="A18" s="835" t="s">
        <v>730</v>
      </c>
      <c r="B18" s="844" t="s">
        <v>731</v>
      </c>
      <c r="C18" s="714">
        <v>1.35</v>
      </c>
      <c r="D18" s="715" t="s">
        <v>705</v>
      </c>
      <c r="E18" s="716" t="s">
        <v>732</v>
      </c>
      <c r="F18" s="714">
        <v>1.5</v>
      </c>
      <c r="G18" s="715" t="s">
        <v>733</v>
      </c>
      <c r="I18" s="1354"/>
      <c r="J18" s="1354"/>
      <c r="K18" s="1354"/>
      <c r="L18" s="1354"/>
      <c r="M18" s="1354"/>
      <c r="N18" s="1354"/>
      <c r="O18" s="1354"/>
      <c r="P18" s="1354"/>
      <c r="Q18" s="1354"/>
    </row>
    <row r="19" spans="1:20" ht="15.65">
      <c r="A19" s="950" t="s">
        <v>734</v>
      </c>
      <c r="B19" s="693" t="s">
        <v>1076</v>
      </c>
      <c r="C19" s="695" t="s">
        <v>1077</v>
      </c>
      <c r="D19" s="696" t="s">
        <v>705</v>
      </c>
      <c r="E19" s="716" t="s">
        <v>732</v>
      </c>
      <c r="F19" s="695" t="s">
        <v>1078</v>
      </c>
      <c r="G19" s="845" t="s">
        <v>733</v>
      </c>
      <c r="H19" s="725" t="s">
        <v>741</v>
      </c>
      <c r="I19" s="846" t="s">
        <v>807</v>
      </c>
      <c r="L19" s="692"/>
      <c r="M19" s="287"/>
      <c r="N19" s="287"/>
      <c r="O19" s="287"/>
      <c r="P19" s="287"/>
      <c r="Q19" s="287"/>
    </row>
    <row r="21" spans="1:20" ht="15.65">
      <c r="A21" s="1320" t="s">
        <v>739</v>
      </c>
      <c r="B21" s="1360"/>
      <c r="C21" s="1360"/>
      <c r="D21" s="1360"/>
      <c r="E21" s="1360"/>
      <c r="F21" s="1360"/>
      <c r="G21" s="1361"/>
    </row>
    <row r="22" spans="1:20" ht="13.6">
      <c r="A22" s="1343" t="s">
        <v>730</v>
      </c>
      <c r="B22" s="1362" t="s">
        <v>731</v>
      </c>
      <c r="C22" s="714">
        <v>1.35</v>
      </c>
      <c r="D22" s="715" t="s">
        <v>705</v>
      </c>
      <c r="E22" s="716"/>
      <c r="F22" s="714"/>
      <c r="G22" s="715"/>
      <c r="H22" s="2" t="s">
        <v>140</v>
      </c>
      <c r="I22" s="725"/>
      <c r="J22" s="699"/>
      <c r="K22" s="85"/>
      <c r="L22" s="287"/>
      <c r="M22" s="287"/>
      <c r="N22" s="761"/>
      <c r="O22" s="287"/>
      <c r="P22" s="84"/>
      <c r="Q22" s="728"/>
      <c r="R22" s="84"/>
      <c r="S22" s="287"/>
      <c r="T22" s="287"/>
    </row>
    <row r="23" spans="1:20" ht="13.6">
      <c r="A23" s="1343"/>
      <c r="B23" s="1287"/>
      <c r="C23" s="714">
        <v>1.35</v>
      </c>
      <c r="D23" s="715" t="s">
        <v>705</v>
      </c>
      <c r="E23" s="716" t="s">
        <v>732</v>
      </c>
      <c r="F23" s="714">
        <v>1.5</v>
      </c>
      <c r="G23" s="715" t="s">
        <v>740</v>
      </c>
      <c r="H23" s="2" t="s">
        <v>764</v>
      </c>
      <c r="I23" s="725"/>
      <c r="J23" s="699"/>
      <c r="K23" s="85"/>
      <c r="L23" s="287"/>
      <c r="M23" s="287"/>
      <c r="N23" s="761"/>
      <c r="O23" s="287"/>
      <c r="P23" s="84"/>
      <c r="Q23" s="728"/>
      <c r="R23" s="84"/>
      <c r="S23" s="287"/>
      <c r="T23" s="287"/>
    </row>
    <row r="24" spans="1:20" ht="13.6">
      <c r="A24" s="1343"/>
      <c r="B24" s="1363"/>
      <c r="C24" s="714">
        <v>1</v>
      </c>
      <c r="D24" s="715" t="s">
        <v>705</v>
      </c>
      <c r="E24" s="716" t="s">
        <v>732</v>
      </c>
      <c r="F24" s="847">
        <v>1</v>
      </c>
      <c r="G24" s="715" t="s">
        <v>717</v>
      </c>
      <c r="H24" s="2"/>
      <c r="I24" s="725"/>
      <c r="J24" s="699"/>
      <c r="K24" s="85"/>
      <c r="L24" s="287"/>
      <c r="M24" s="287"/>
      <c r="N24" s="761"/>
      <c r="O24" s="287"/>
      <c r="P24" s="84"/>
      <c r="Q24" s="728"/>
      <c r="R24" s="84"/>
      <c r="S24" s="287"/>
      <c r="T24" s="287"/>
    </row>
    <row r="25" spans="1:20" ht="15.65">
      <c r="A25" s="950" t="s">
        <v>734</v>
      </c>
      <c r="B25" s="693" t="s">
        <v>1076</v>
      </c>
      <c r="C25" s="695" t="s">
        <v>1077</v>
      </c>
      <c r="D25" s="696" t="s">
        <v>705</v>
      </c>
      <c r="E25" s="716" t="s">
        <v>732</v>
      </c>
      <c r="F25" s="695" t="s">
        <v>1078</v>
      </c>
      <c r="G25" s="696" t="s">
        <v>740</v>
      </c>
      <c r="H25" s="725" t="s">
        <v>741</v>
      </c>
      <c r="I25" s="846" t="s">
        <v>807</v>
      </c>
      <c r="J25" s="708"/>
      <c r="K25" s="85"/>
      <c r="L25" s="287"/>
      <c r="M25" s="287"/>
      <c r="N25" s="761"/>
      <c r="O25" s="287"/>
      <c r="P25" s="84"/>
      <c r="Q25" s="728"/>
      <c r="R25" s="84"/>
      <c r="S25" s="287"/>
      <c r="T25" s="287"/>
    </row>
    <row r="26" spans="1:20">
      <c r="L26" s="780"/>
      <c r="M26" s="287"/>
      <c r="N26" s="287"/>
      <c r="O26" s="287"/>
      <c r="P26" s="287"/>
    </row>
    <row r="27" spans="1:20" ht="15.65">
      <c r="A27" s="1320" t="s">
        <v>742</v>
      </c>
      <c r="B27" s="1360"/>
      <c r="C27" s="1360"/>
      <c r="D27" s="1360"/>
      <c r="E27" s="1360"/>
      <c r="F27" s="1360"/>
      <c r="G27" s="1361"/>
    </row>
    <row r="28" spans="1:20">
      <c r="A28" s="1353" t="s">
        <v>730</v>
      </c>
      <c r="B28" s="1300" t="s">
        <v>731</v>
      </c>
      <c r="C28" s="695">
        <v>1.35</v>
      </c>
      <c r="D28" s="696" t="s">
        <v>705</v>
      </c>
      <c r="E28" s="697"/>
      <c r="F28" s="695"/>
      <c r="G28" s="696"/>
    </row>
    <row r="29" spans="1:20">
      <c r="A29" s="1353"/>
      <c r="B29" s="1300"/>
      <c r="C29" s="695">
        <v>1</v>
      </c>
      <c r="D29" s="696" t="s">
        <v>705</v>
      </c>
      <c r="E29" s="697" t="s">
        <v>732</v>
      </c>
      <c r="F29" s="695">
        <v>1.5</v>
      </c>
      <c r="G29" s="696" t="s">
        <v>715</v>
      </c>
    </row>
    <row r="30" spans="1:20">
      <c r="A30" s="1353"/>
      <c r="B30" s="1300"/>
      <c r="C30" s="695">
        <v>1.35</v>
      </c>
      <c r="D30" s="696" t="s">
        <v>705</v>
      </c>
      <c r="E30" s="697" t="s">
        <v>732</v>
      </c>
      <c r="F30" s="695">
        <v>1.5</v>
      </c>
      <c r="G30" s="696" t="s">
        <v>710</v>
      </c>
    </row>
    <row r="31" spans="1:20">
      <c r="A31" s="1353" t="s">
        <v>734</v>
      </c>
      <c r="B31" s="737" t="s">
        <v>735</v>
      </c>
      <c r="C31" s="695"/>
      <c r="D31" s="696"/>
      <c r="E31" s="697"/>
      <c r="F31" s="695">
        <v>1</v>
      </c>
      <c r="G31" s="696" t="s">
        <v>721</v>
      </c>
      <c r="L31" s="692"/>
      <c r="M31" s="287"/>
      <c r="N31" s="287"/>
      <c r="O31" s="287"/>
      <c r="P31" s="287"/>
    </row>
    <row r="32" spans="1:20" ht="15.65">
      <c r="A32" s="1353"/>
      <c r="B32" s="693" t="s">
        <v>1076</v>
      </c>
      <c r="C32" s="695" t="s">
        <v>1077</v>
      </c>
      <c r="D32" s="696" t="s">
        <v>705</v>
      </c>
      <c r="E32" s="716" t="s">
        <v>732</v>
      </c>
      <c r="F32" s="695">
        <v>1</v>
      </c>
      <c r="G32" s="696" t="s">
        <v>710</v>
      </c>
      <c r="L32" s="780"/>
      <c r="M32" s="287"/>
      <c r="N32" s="287"/>
      <c r="O32" s="287"/>
      <c r="P32" s="287"/>
    </row>
    <row r="33" spans="1:16">
      <c r="J33" s="2"/>
    </row>
    <row r="34" spans="1:16">
      <c r="J34" s="2"/>
    </row>
    <row r="35" spans="1:16">
      <c r="J35" s="2"/>
    </row>
    <row r="36" spans="1:16">
      <c r="A36" s="738"/>
      <c r="B36" s="189"/>
      <c r="C36" s="740"/>
      <c r="D36" s="741"/>
      <c r="E36" s="742"/>
      <c r="F36" s="740"/>
      <c r="G36" s="741"/>
      <c r="H36" s="189"/>
      <c r="I36" s="189"/>
      <c r="J36" s="189"/>
      <c r="K36" s="189"/>
    </row>
    <row r="37" spans="1:16" ht="15.65">
      <c r="A37" s="1320" t="s">
        <v>743</v>
      </c>
      <c r="B37" s="1269"/>
      <c r="C37" s="1269"/>
      <c r="D37" s="1269"/>
      <c r="E37" s="1269"/>
      <c r="F37" s="1269"/>
      <c r="G37" s="1270"/>
      <c r="J37" s="2"/>
    </row>
    <row r="38" spans="1:16">
      <c r="A38" s="1321" t="s">
        <v>730</v>
      </c>
      <c r="B38" s="1307" t="s">
        <v>731</v>
      </c>
      <c r="C38" s="695">
        <v>1.35</v>
      </c>
      <c r="D38" s="696" t="s">
        <v>705</v>
      </c>
      <c r="E38" s="697"/>
      <c r="F38" s="695"/>
      <c r="G38" s="696"/>
      <c r="H38" s="743" t="s">
        <v>140</v>
      </c>
      <c r="I38" s="84"/>
      <c r="J38" s="728"/>
      <c r="K38" s="84"/>
    </row>
    <row r="39" spans="1:16">
      <c r="A39" s="1322"/>
      <c r="B39" s="1295"/>
      <c r="C39" s="695">
        <v>1.35</v>
      </c>
      <c r="D39" s="696" t="s">
        <v>705</v>
      </c>
      <c r="E39" s="697" t="s">
        <v>732</v>
      </c>
      <c r="F39" s="695">
        <v>1.5</v>
      </c>
      <c r="G39" s="696" t="s">
        <v>740</v>
      </c>
      <c r="I39" s="84"/>
      <c r="J39" s="728"/>
      <c r="K39" s="84"/>
    </row>
    <row r="40" spans="1:16">
      <c r="A40" s="1322"/>
      <c r="B40" s="1295"/>
      <c r="C40" s="714">
        <v>1</v>
      </c>
      <c r="D40" s="715" t="s">
        <v>705</v>
      </c>
      <c r="E40" s="716" t="s">
        <v>732</v>
      </c>
      <c r="F40" s="695">
        <v>1</v>
      </c>
      <c r="G40" s="696" t="s">
        <v>717</v>
      </c>
      <c r="I40" s="84"/>
      <c r="J40" s="728"/>
      <c r="L40" s="731"/>
    </row>
    <row r="41" spans="1:16">
      <c r="A41" s="1322"/>
      <c r="B41" s="1295"/>
      <c r="C41" s="695">
        <v>1.35</v>
      </c>
      <c r="D41" s="696" t="s">
        <v>705</v>
      </c>
      <c r="E41" s="697" t="s">
        <v>732</v>
      </c>
      <c r="F41" s="695">
        <v>1.5</v>
      </c>
      <c r="G41" s="696" t="s">
        <v>710</v>
      </c>
      <c r="H41" s="731"/>
      <c r="I41" s="84"/>
      <c r="J41" s="728"/>
      <c r="K41" s="84"/>
    </row>
    <row r="42" spans="1:16">
      <c r="A42" s="1322"/>
      <c r="B42" s="1295"/>
      <c r="C42" s="695">
        <v>1</v>
      </c>
      <c r="D42" s="696" t="s">
        <v>705</v>
      </c>
      <c r="E42" s="697" t="s">
        <v>732</v>
      </c>
      <c r="F42" s="695">
        <v>1.5</v>
      </c>
      <c r="G42" s="696" t="s">
        <v>715</v>
      </c>
      <c r="H42" s="731"/>
      <c r="I42" s="84"/>
      <c r="J42" s="728"/>
      <c r="K42" s="84"/>
    </row>
    <row r="43" spans="1:16" ht="13.6">
      <c r="A43" s="1322"/>
      <c r="B43" s="1295"/>
      <c r="C43" s="695">
        <v>1.35</v>
      </c>
      <c r="D43" s="696" t="s">
        <v>705</v>
      </c>
      <c r="E43" s="697" t="s">
        <v>732</v>
      </c>
      <c r="F43" s="695">
        <v>1.5</v>
      </c>
      <c r="G43" s="696" t="s">
        <v>744</v>
      </c>
      <c r="H43" s="801" t="s">
        <v>732</v>
      </c>
      <c r="I43" s="848" t="s">
        <v>808</v>
      </c>
      <c r="J43" s="696" t="s">
        <v>710</v>
      </c>
      <c r="K43" s="670" t="s">
        <v>797</v>
      </c>
      <c r="L43" s="1"/>
    </row>
    <row r="44" spans="1:16">
      <c r="A44" s="1353"/>
      <c r="B44" s="737" t="s">
        <v>735</v>
      </c>
      <c r="C44" s="695"/>
      <c r="D44" s="696"/>
      <c r="E44" s="697"/>
      <c r="F44" s="695">
        <v>1</v>
      </c>
      <c r="G44" s="696" t="s">
        <v>721</v>
      </c>
      <c r="J44" s="780"/>
      <c r="K44" s="287"/>
      <c r="L44" s="287"/>
      <c r="M44" s="287"/>
      <c r="N44" s="287"/>
      <c r="O44" s="287"/>
    </row>
    <row r="45" spans="1:16" ht="15.65">
      <c r="A45" s="1353"/>
      <c r="B45" s="1307" t="s">
        <v>1076</v>
      </c>
      <c r="C45" s="695" t="s">
        <v>1077</v>
      </c>
      <c r="D45" s="696" t="s">
        <v>705</v>
      </c>
      <c r="E45" s="716" t="s">
        <v>732</v>
      </c>
      <c r="F45" s="695" t="s">
        <v>1078</v>
      </c>
      <c r="G45" s="696" t="s">
        <v>740</v>
      </c>
      <c r="J45" s="780"/>
      <c r="K45" s="287"/>
      <c r="L45" s="287"/>
      <c r="M45" s="287"/>
      <c r="N45" s="287"/>
      <c r="O45" s="287"/>
    </row>
    <row r="46" spans="1:16" ht="15.65">
      <c r="A46" s="1353"/>
      <c r="B46" s="1335"/>
      <c r="C46" s="695" t="s">
        <v>1077</v>
      </c>
      <c r="D46" s="696" t="s">
        <v>705</v>
      </c>
      <c r="E46" s="716" t="s">
        <v>732</v>
      </c>
      <c r="F46" s="695">
        <v>1</v>
      </c>
      <c r="G46" s="696" t="s">
        <v>710</v>
      </c>
      <c r="H46" s="708" t="s">
        <v>769</v>
      </c>
      <c r="I46" s="846"/>
      <c r="J46" s="780"/>
      <c r="K46" s="287"/>
      <c r="L46" s="287"/>
      <c r="M46" s="287"/>
      <c r="N46" s="287"/>
      <c r="O46" s="287"/>
    </row>
    <row r="47" spans="1:16" ht="13.6">
      <c r="A47" s="749" t="s">
        <v>746</v>
      </c>
      <c r="B47" s="725" t="s">
        <v>747</v>
      </c>
      <c r="C47" s="699"/>
      <c r="D47" s="85"/>
      <c r="E47" s="287"/>
      <c r="F47" s="287"/>
      <c r="G47" s="761"/>
      <c r="H47" s="287"/>
      <c r="I47" s="84"/>
      <c r="J47" s="728"/>
      <c r="K47" s="84"/>
      <c r="L47" s="287"/>
      <c r="M47" s="287"/>
      <c r="N47" s="287"/>
    </row>
    <row r="48" spans="1:16" ht="13.6">
      <c r="A48" s="749"/>
      <c r="B48" s="725" t="s">
        <v>798</v>
      </c>
      <c r="C48" s="699"/>
      <c r="D48" s="85"/>
      <c r="E48" s="287"/>
      <c r="F48" s="287"/>
      <c r="G48" s="761"/>
      <c r="H48" s="287"/>
      <c r="I48" s="84"/>
      <c r="J48" s="728"/>
      <c r="K48" s="84"/>
      <c r="L48" s="287"/>
      <c r="M48" s="287"/>
      <c r="N48" s="287"/>
      <c r="O48" s="287"/>
      <c r="P48" s="287"/>
    </row>
    <row r="49" spans="1:18" ht="13.6">
      <c r="A49" s="749"/>
      <c r="B49" s="725" t="s">
        <v>799</v>
      </c>
      <c r="C49" s="699"/>
      <c r="D49" s="85"/>
      <c r="E49" s="287"/>
      <c r="F49" s="287"/>
      <c r="G49" s="761"/>
      <c r="H49" s="287"/>
      <c r="I49" s="84"/>
      <c r="J49" s="728"/>
      <c r="K49" s="84"/>
      <c r="L49" s="287"/>
      <c r="M49" s="287"/>
      <c r="N49" s="287"/>
      <c r="O49" s="287"/>
      <c r="P49" s="287"/>
    </row>
    <row r="50" spans="1:18" ht="13.6">
      <c r="A50" s="749"/>
      <c r="B50" s="725" t="s">
        <v>750</v>
      </c>
      <c r="C50" s="699"/>
      <c r="D50" s="85"/>
      <c r="E50" s="287"/>
      <c r="F50" s="287"/>
      <c r="G50" s="761"/>
      <c r="H50" s="287"/>
      <c r="I50" s="84"/>
      <c r="J50" s="728"/>
      <c r="K50" s="84"/>
      <c r="L50" s="287"/>
      <c r="M50" s="287"/>
      <c r="N50" s="287"/>
      <c r="O50" s="287"/>
      <c r="P50" s="287"/>
    </row>
    <row r="51" spans="1:18" ht="14.3">
      <c r="A51" s="708" t="s">
        <v>769</v>
      </c>
      <c r="B51" s="846" t="s">
        <v>807</v>
      </c>
      <c r="C51" s="708"/>
      <c r="D51" s="849"/>
      <c r="E51" s="806"/>
      <c r="F51" s="806"/>
      <c r="G51" s="850"/>
      <c r="H51" s="806"/>
      <c r="I51" s="806"/>
      <c r="J51" s="806"/>
      <c r="K51" s="806"/>
      <c r="L51" s="806"/>
      <c r="M51" s="806"/>
      <c r="N51" s="806"/>
      <c r="O51" s="287"/>
      <c r="P51" s="287"/>
    </row>
    <row r="52" spans="1:18" ht="13.6">
      <c r="A52" s="699" t="s">
        <v>751</v>
      </c>
      <c r="B52" s="761" t="s">
        <v>809</v>
      </c>
      <c r="C52" s="287"/>
      <c r="D52" s="287"/>
      <c r="E52" s="287"/>
      <c r="F52" s="287"/>
      <c r="G52" s="761"/>
      <c r="H52" s="287"/>
      <c r="I52" s="287"/>
      <c r="J52" s="780"/>
      <c r="K52" s="287"/>
      <c r="L52" s="287"/>
      <c r="M52" s="287"/>
      <c r="N52" s="287"/>
      <c r="O52" s="806"/>
      <c r="P52" s="806"/>
      <c r="Q52" s="743"/>
      <c r="R52" s="743"/>
    </row>
    <row r="53" spans="1:18">
      <c r="A53" s="261" t="s">
        <v>764</v>
      </c>
      <c r="B53" s="851" t="s">
        <v>800</v>
      </c>
      <c r="M53" s="287"/>
      <c r="N53" s="287"/>
      <c r="O53" s="287"/>
      <c r="P53" s="287"/>
    </row>
    <row r="54" spans="1:18">
      <c r="A54" s="805" t="s">
        <v>801</v>
      </c>
      <c r="B54" s="780" t="s">
        <v>1275</v>
      </c>
      <c r="C54" s="287"/>
      <c r="D54" s="287"/>
      <c r="E54" s="287"/>
      <c r="F54" s="287"/>
      <c r="G54" s="761"/>
      <c r="H54" s="287"/>
      <c r="I54" s="287"/>
      <c r="J54" s="780"/>
      <c r="K54" s="287"/>
      <c r="L54" s="287"/>
      <c r="M54" s="287"/>
      <c r="N54" s="287"/>
      <c r="O54" s="287"/>
      <c r="P54" s="287"/>
    </row>
    <row r="55" spans="1:18">
      <c r="A55" s="699" t="s">
        <v>710</v>
      </c>
      <c r="B55" s="780" t="s">
        <v>802</v>
      </c>
      <c r="C55" s="287"/>
      <c r="D55" s="287"/>
      <c r="E55" s="287"/>
      <c r="F55" s="287"/>
      <c r="G55" s="761"/>
      <c r="H55" s="287"/>
      <c r="I55" s="287"/>
      <c r="O55" s="287"/>
      <c r="P55" s="287"/>
    </row>
    <row r="57" spans="1:18" ht="15.65">
      <c r="A57" s="1320" t="s">
        <v>810</v>
      </c>
      <c r="B57" s="1269"/>
      <c r="C57" s="1269"/>
      <c r="D57" s="1269"/>
      <c r="E57" s="1269"/>
      <c r="F57" s="1269"/>
      <c r="G57" s="1270"/>
      <c r="H57" s="11"/>
      <c r="I57" s="664"/>
      <c r="J57" s="664"/>
      <c r="K57" s="664"/>
    </row>
    <row r="58" spans="1:18">
      <c r="A58" s="1321" t="s">
        <v>730</v>
      </c>
      <c r="B58" s="1307" t="s">
        <v>731</v>
      </c>
      <c r="C58" s="714">
        <v>1.35</v>
      </c>
      <c r="D58" s="715" t="s">
        <v>705</v>
      </c>
      <c r="E58" s="716"/>
      <c r="F58" s="714"/>
      <c r="G58" s="715"/>
      <c r="H58" s="743"/>
      <c r="I58" s="84"/>
      <c r="J58" s="728"/>
      <c r="K58" s="84"/>
    </row>
    <row r="59" spans="1:18">
      <c r="A59" s="1296"/>
      <c r="B59" s="1296"/>
      <c r="C59" s="695">
        <v>1.35</v>
      </c>
      <c r="D59" s="696" t="s">
        <v>705</v>
      </c>
      <c r="E59" s="697" t="s">
        <v>732</v>
      </c>
      <c r="F59" s="695">
        <v>1.5</v>
      </c>
      <c r="G59" s="696" t="s">
        <v>740</v>
      </c>
      <c r="H59" s="743"/>
      <c r="I59" s="84"/>
      <c r="J59" s="728"/>
      <c r="K59" s="84"/>
    </row>
    <row r="60" spans="1:18">
      <c r="A60" s="1296"/>
      <c r="B60" s="1296"/>
      <c r="C60" s="714">
        <v>1</v>
      </c>
      <c r="D60" s="715" t="s">
        <v>705</v>
      </c>
      <c r="E60" s="716" t="s">
        <v>732</v>
      </c>
      <c r="F60" s="695">
        <v>1</v>
      </c>
      <c r="G60" s="696" t="s">
        <v>717</v>
      </c>
      <c r="I60" s="84"/>
      <c r="J60" s="728"/>
      <c r="K60" s="84"/>
      <c r="L60" s="731"/>
    </row>
    <row r="61" spans="1:18">
      <c r="A61" s="1296"/>
      <c r="B61" s="1296"/>
      <c r="C61" s="695">
        <v>1.35</v>
      </c>
      <c r="D61" s="696" t="s">
        <v>705</v>
      </c>
      <c r="E61" s="697" t="s">
        <v>732</v>
      </c>
      <c r="F61" s="695">
        <v>1.5</v>
      </c>
      <c r="G61" s="696" t="s">
        <v>721</v>
      </c>
      <c r="H61" s="798"/>
      <c r="I61" s="799"/>
      <c r="J61" s="799"/>
      <c r="K61" s="799"/>
    </row>
    <row r="62" spans="1:18">
      <c r="A62" s="1296"/>
      <c r="B62" s="1296"/>
      <c r="C62" s="695">
        <v>1</v>
      </c>
      <c r="D62" s="696" t="s">
        <v>705</v>
      </c>
      <c r="E62" s="697" t="s">
        <v>732</v>
      </c>
      <c r="F62" s="695">
        <v>1.5</v>
      </c>
      <c r="G62" s="696" t="s">
        <v>721</v>
      </c>
      <c r="H62" s="744"/>
      <c r="I62" s="799"/>
      <c r="J62" s="799"/>
      <c r="K62" s="799"/>
    </row>
    <row r="63" spans="1:18" ht="13.6">
      <c r="A63" s="1296"/>
      <c r="B63" s="1296"/>
      <c r="C63" s="695">
        <v>1.35</v>
      </c>
      <c r="D63" s="696" t="s">
        <v>705</v>
      </c>
      <c r="E63" s="697" t="s">
        <v>732</v>
      </c>
      <c r="F63" s="695">
        <v>1.5</v>
      </c>
      <c r="G63" s="696" t="s">
        <v>744</v>
      </c>
      <c r="H63" s="801" t="s">
        <v>732</v>
      </c>
      <c r="I63" s="848" t="s">
        <v>808</v>
      </c>
      <c r="J63" s="696" t="s">
        <v>803</v>
      </c>
      <c r="K63" s="670" t="s">
        <v>797</v>
      </c>
    </row>
    <row r="64" spans="1:18" ht="13.6">
      <c r="A64" s="1296"/>
      <c r="B64" s="1296"/>
      <c r="C64" s="695">
        <v>1</v>
      </c>
      <c r="D64" s="696" t="s">
        <v>705</v>
      </c>
      <c r="E64" s="697" t="s">
        <v>732</v>
      </c>
      <c r="F64" s="695">
        <v>1.5</v>
      </c>
      <c r="G64" s="696" t="s">
        <v>721</v>
      </c>
      <c r="H64" s="801" t="s">
        <v>732</v>
      </c>
      <c r="I64" s="848" t="s">
        <v>808</v>
      </c>
      <c r="J64" s="696" t="s">
        <v>744</v>
      </c>
      <c r="K64" s="670" t="s">
        <v>797</v>
      </c>
    </row>
    <row r="65" spans="1:16">
      <c r="A65" s="1321" t="s">
        <v>734</v>
      </c>
      <c r="B65" s="949" t="s">
        <v>735</v>
      </c>
      <c r="C65" s="695"/>
      <c r="D65" s="696"/>
      <c r="E65" s="697"/>
      <c r="F65" s="695"/>
      <c r="G65" s="696" t="s">
        <v>721</v>
      </c>
      <c r="J65" s="692"/>
      <c r="K65" s="287"/>
      <c r="L65" s="287"/>
      <c r="M65" s="287"/>
      <c r="N65" s="287"/>
      <c r="O65" s="287"/>
    </row>
    <row r="66" spans="1:16" ht="15.65">
      <c r="A66" s="1322"/>
      <c r="B66" s="1307" t="s">
        <v>1076</v>
      </c>
      <c r="C66" s="695" t="s">
        <v>1077</v>
      </c>
      <c r="D66" s="696" t="s">
        <v>705</v>
      </c>
      <c r="E66" s="716" t="s">
        <v>732</v>
      </c>
      <c r="F66" s="695" t="s">
        <v>1078</v>
      </c>
      <c r="G66" s="696" t="s">
        <v>740</v>
      </c>
      <c r="H66" s="798" t="s">
        <v>741</v>
      </c>
      <c r="J66" s="692"/>
      <c r="K66" s="287"/>
      <c r="L66" s="287"/>
      <c r="M66" s="287"/>
      <c r="N66" s="287"/>
      <c r="O66" s="287"/>
    </row>
    <row r="67" spans="1:16" ht="15.65">
      <c r="A67" s="1343"/>
      <c r="B67" s="1335"/>
      <c r="C67" s="695" t="s">
        <v>1077</v>
      </c>
      <c r="D67" s="696" t="s">
        <v>705</v>
      </c>
      <c r="E67" s="716" t="s">
        <v>732</v>
      </c>
      <c r="F67" s="695">
        <v>1</v>
      </c>
      <c r="G67" s="696" t="s">
        <v>721</v>
      </c>
      <c r="I67" s="799"/>
      <c r="J67" s="780"/>
      <c r="K67" s="287"/>
      <c r="L67" s="287"/>
      <c r="M67" s="287"/>
      <c r="N67" s="287"/>
      <c r="O67" s="287"/>
    </row>
    <row r="68" spans="1:16" ht="14.3">
      <c r="A68" s="706" t="s">
        <v>769</v>
      </c>
      <c r="B68" s="846" t="s">
        <v>807</v>
      </c>
      <c r="C68" s="212"/>
      <c r="D68" s="699"/>
      <c r="E68" s="85"/>
      <c r="F68" s="287"/>
      <c r="G68" s="287"/>
      <c r="H68" s="807"/>
      <c r="I68" s="287"/>
      <c r="J68" s="287"/>
      <c r="K68" s="780"/>
      <c r="L68" s="287"/>
      <c r="M68" s="287"/>
      <c r="N68" s="287"/>
    </row>
    <row r="69" spans="1:16" ht="13.6">
      <c r="A69" s="625" t="s">
        <v>751</v>
      </c>
      <c r="B69" s="761" t="s">
        <v>811</v>
      </c>
      <c r="C69" s="287"/>
      <c r="D69" s="287"/>
      <c r="E69" s="287"/>
      <c r="F69" s="287"/>
      <c r="G69" s="761"/>
      <c r="H69" s="287"/>
      <c r="I69" s="287"/>
      <c r="J69" s="780"/>
      <c r="K69" s="287"/>
      <c r="L69" s="287"/>
      <c r="M69" s="287"/>
      <c r="N69" s="287"/>
      <c r="O69" s="287"/>
      <c r="P69" s="287"/>
    </row>
    <row r="70" spans="1:16">
      <c r="A70" s="852" t="s">
        <v>764</v>
      </c>
      <c r="B70" s="851" t="s">
        <v>800</v>
      </c>
      <c r="C70" s="287"/>
      <c r="D70" s="287"/>
      <c r="E70" s="287"/>
      <c r="F70" s="287"/>
      <c r="G70" s="761"/>
      <c r="H70" s="287"/>
      <c r="I70" s="287"/>
      <c r="J70" s="780"/>
      <c r="K70" s="287"/>
      <c r="L70" s="287"/>
      <c r="M70" s="287"/>
      <c r="N70" s="287"/>
      <c r="O70" s="287"/>
      <c r="P70" s="287"/>
    </row>
    <row r="71" spans="1:16">
      <c r="A71" s="744" t="s">
        <v>801</v>
      </c>
      <c r="B71" s="780" t="s">
        <v>1275</v>
      </c>
      <c r="C71" s="212"/>
      <c r="D71" s="287"/>
      <c r="E71" s="287"/>
      <c r="F71" s="287"/>
      <c r="G71" s="287"/>
      <c r="H71" s="761"/>
      <c r="I71" s="287"/>
      <c r="J71" s="287"/>
      <c r="K71" s="780"/>
      <c r="L71" s="287"/>
      <c r="M71" s="287"/>
      <c r="N71" s="287"/>
      <c r="O71" s="287"/>
      <c r="P71" s="287"/>
    </row>
    <row r="72" spans="1:16">
      <c r="O72" s="664"/>
      <c r="P72" s="287"/>
    </row>
    <row r="73" spans="1:16">
      <c r="O73" s="287"/>
      <c r="P73" s="287"/>
    </row>
    <row r="135" spans="1:8" ht="13.6">
      <c r="A135" s="1344" t="s">
        <v>812</v>
      </c>
      <c r="B135" s="1269"/>
      <c r="C135" s="1269"/>
      <c r="D135" s="1269"/>
      <c r="E135" s="1269"/>
      <c r="F135" s="1269"/>
      <c r="G135" s="1269"/>
      <c r="H135" s="1270"/>
    </row>
    <row r="136" spans="1:8" ht="14.95">
      <c r="A136" s="821" t="s">
        <v>785</v>
      </c>
      <c r="B136" s="75"/>
      <c r="C136" s="822"/>
      <c r="D136" s="75"/>
      <c r="E136" s="75"/>
      <c r="F136" s="75"/>
      <c r="G136" s="823" t="s">
        <v>804</v>
      </c>
      <c r="H136" s="823" t="s">
        <v>806</v>
      </c>
    </row>
    <row r="137" spans="1:8" ht="13.6">
      <c r="A137" s="661" t="s">
        <v>702</v>
      </c>
      <c r="B137" s="450"/>
      <c r="C137" s="773"/>
      <c r="D137" s="774"/>
      <c r="E137" s="775"/>
      <c r="F137" s="450"/>
      <c r="G137" s="827">
        <v>0.5</v>
      </c>
      <c r="H137" s="828">
        <v>0.3</v>
      </c>
    </row>
    <row r="138" spans="1:8" ht="13.6">
      <c r="A138" s="667" t="s">
        <v>707</v>
      </c>
      <c r="B138" s="450"/>
      <c r="C138" s="773"/>
      <c r="D138" s="774"/>
      <c r="E138" s="775"/>
      <c r="F138" s="450"/>
      <c r="G138" s="827">
        <v>0.5</v>
      </c>
      <c r="H138" s="828">
        <v>0.3</v>
      </c>
    </row>
    <row r="139" spans="1:8" ht="13.6">
      <c r="A139" s="667" t="s">
        <v>713</v>
      </c>
      <c r="B139" s="450"/>
      <c r="C139" s="773"/>
      <c r="D139" s="774"/>
      <c r="E139" s="775"/>
      <c r="F139" s="450"/>
      <c r="G139" s="827">
        <v>0.7</v>
      </c>
      <c r="H139" s="828">
        <v>0.6</v>
      </c>
    </row>
    <row r="140" spans="1:8" ht="13.6">
      <c r="A140" s="667" t="s">
        <v>718</v>
      </c>
      <c r="B140" s="450"/>
      <c r="C140" s="773"/>
      <c r="D140" s="774"/>
      <c r="E140" s="775"/>
      <c r="F140" s="450"/>
      <c r="G140" s="827">
        <v>0.7</v>
      </c>
      <c r="H140" s="828">
        <v>0.6</v>
      </c>
    </row>
    <row r="141" spans="1:8" ht="13.6">
      <c r="A141" s="667" t="s">
        <v>722</v>
      </c>
      <c r="B141" s="450"/>
      <c r="C141" s="773"/>
      <c r="D141" s="774"/>
      <c r="E141" s="775"/>
      <c r="F141" s="450"/>
      <c r="G141" s="827">
        <v>0.9</v>
      </c>
      <c r="H141" s="828">
        <v>0.8</v>
      </c>
    </row>
    <row r="142" spans="1:8" ht="13.6">
      <c r="A142" s="667" t="s">
        <v>724</v>
      </c>
      <c r="B142" s="450"/>
      <c r="C142" s="773"/>
      <c r="D142" s="774"/>
      <c r="E142" s="775"/>
      <c r="F142" s="450"/>
      <c r="G142" s="827">
        <v>0.7</v>
      </c>
      <c r="H142" s="828">
        <v>0.6</v>
      </c>
    </row>
    <row r="143" spans="1:8" ht="13.6">
      <c r="A143" s="667" t="s">
        <v>790</v>
      </c>
      <c r="B143" s="450"/>
      <c r="C143" s="773"/>
      <c r="D143" s="774"/>
      <c r="E143" s="775"/>
      <c r="F143" s="450"/>
      <c r="G143" s="827">
        <v>0.5</v>
      </c>
      <c r="H143" s="828">
        <v>0.3</v>
      </c>
    </row>
    <row r="144" spans="1:8" ht="13.6">
      <c r="A144" s="667" t="s">
        <v>729</v>
      </c>
      <c r="B144" s="450"/>
      <c r="C144" s="773"/>
      <c r="D144" s="774"/>
      <c r="E144" s="775"/>
      <c r="F144" s="450"/>
      <c r="G144" s="827">
        <v>0</v>
      </c>
      <c r="H144" s="828">
        <v>0</v>
      </c>
    </row>
    <row r="145" spans="1:8">
      <c r="A145" s="1341" t="s">
        <v>791</v>
      </c>
      <c r="B145" s="836" t="s">
        <v>792</v>
      </c>
      <c r="C145" s="837"/>
      <c r="D145" s="838"/>
      <c r="E145" s="839"/>
      <c r="F145" s="840"/>
      <c r="G145" s="827">
        <v>0.5</v>
      </c>
      <c r="H145" s="827">
        <v>0.2</v>
      </c>
    </row>
    <row r="146" spans="1:8">
      <c r="A146" s="1342"/>
      <c r="B146" s="841" t="s">
        <v>794</v>
      </c>
      <c r="C146" s="840"/>
      <c r="D146" s="840"/>
      <c r="E146" s="840"/>
      <c r="F146" s="840"/>
      <c r="G146" s="827">
        <v>0.2</v>
      </c>
      <c r="H146" s="827">
        <v>0</v>
      </c>
    </row>
    <row r="147" spans="1:8">
      <c r="A147" s="842" t="s">
        <v>796</v>
      </c>
      <c r="B147" s="843"/>
      <c r="C147" s="843"/>
      <c r="D147" s="843"/>
      <c r="E147" s="843"/>
      <c r="F147" s="843"/>
      <c r="G147" s="827">
        <v>0.2</v>
      </c>
      <c r="H147" s="827">
        <v>0</v>
      </c>
    </row>
  </sheetData>
  <mergeCells count="33">
    <mergeCell ref="A27:G27"/>
    <mergeCell ref="N14:P14"/>
    <mergeCell ref="K3:K4"/>
    <mergeCell ref="K6:K8"/>
    <mergeCell ref="L6:P6"/>
    <mergeCell ref="L9:P9"/>
    <mergeCell ref="A17:G17"/>
    <mergeCell ref="A3:H3"/>
    <mergeCell ref="A13:A14"/>
    <mergeCell ref="K14:M14"/>
    <mergeCell ref="B38:B43"/>
    <mergeCell ref="A38:A43"/>
    <mergeCell ref="A31:A32"/>
    <mergeCell ref="A37:G37"/>
    <mergeCell ref="A28:A30"/>
    <mergeCell ref="B28:B30"/>
    <mergeCell ref="A1:U1"/>
    <mergeCell ref="A57:G57"/>
    <mergeCell ref="K17:N17"/>
    <mergeCell ref="A44:A46"/>
    <mergeCell ref="I18:Q18"/>
    <mergeCell ref="K13:M13"/>
    <mergeCell ref="N13:P13"/>
    <mergeCell ref="A21:G21"/>
    <mergeCell ref="A22:A24"/>
    <mergeCell ref="B22:B24"/>
    <mergeCell ref="B45:B46"/>
    <mergeCell ref="B66:B67"/>
    <mergeCell ref="B58:B64"/>
    <mergeCell ref="A58:A64"/>
    <mergeCell ref="A145:A146"/>
    <mergeCell ref="A65:A67"/>
    <mergeCell ref="A135:H135"/>
  </mergeCells>
  <phoneticPr fontId="2" type="noConversion"/>
  <hyperlinks>
    <hyperlink ref="K17" location="MENU!A1" display="RETOUR MENU"/>
    <hyperlink ref="K17:M17" location="MENU!A1" display="RETOUR MENU PRINCIPAL"/>
    <hyperlink ref="K17:N17" location="'M4'!A1" display="RETOUR MENU CHARGEMENTS"/>
  </hyperlinks>
  <pageMargins left="0.31496062992125984" right="0.19685039370078741" top="0.39370078740157483" bottom="0.98425196850393704" header="0.23622047244094491" footer="0.51181102362204722"/>
  <pageSetup paperSize="9" orientation="landscape" horizontalDpi="4294967293" verticalDpi="300" r:id="rId1"/>
  <headerFooter alignWithMargins="0">
    <oddFooter>&amp;C&amp;"Verdana,Gras"page &amp;P/&amp;N</oddFooter>
  </headerFooter>
  <drawing r:id="rId2"/>
  <legacyDrawing r:id="rId3"/>
  <oleObjects>
    <mc:AlternateContent xmlns:mc="http://schemas.openxmlformats.org/markup-compatibility/2006">
      <mc:Choice Requires="x14">
        <oleObject progId="Equation.3" shapeId="47105" r:id="rId4">
          <objectPr defaultSize="0" autoPict="0" r:id="rId5">
            <anchor moveWithCells="1" sizeWithCells="1">
              <from>
                <xdr:col>11</xdr:col>
                <xdr:colOff>0</xdr:colOff>
                <xdr:row>2</xdr:row>
                <xdr:rowOff>77638</xdr:rowOff>
              </from>
              <to>
                <xdr:col>15</xdr:col>
                <xdr:colOff>733245</xdr:colOff>
                <xdr:row>4</xdr:row>
                <xdr:rowOff>17253</xdr:rowOff>
              </to>
            </anchor>
          </objectPr>
        </oleObject>
      </mc:Choice>
      <mc:Fallback>
        <oleObject progId="Equation.3" shapeId="47105" r:id="rId4"/>
      </mc:Fallback>
    </mc:AlternateContent>
    <mc:AlternateContent xmlns:mc="http://schemas.openxmlformats.org/markup-compatibility/2006">
      <mc:Choice Requires="x14">
        <oleObject progId="Equation.3" shapeId="47106" r:id="rId6">
          <objectPr defaultSize="0" autoPict="0" r:id="rId7">
            <anchor moveWithCells="1" sizeWithCells="1">
              <from>
                <xdr:col>11</xdr:col>
                <xdr:colOff>198408</xdr:colOff>
                <xdr:row>6</xdr:row>
                <xdr:rowOff>17253</xdr:rowOff>
              </from>
              <to>
                <xdr:col>15</xdr:col>
                <xdr:colOff>405442</xdr:colOff>
                <xdr:row>8</xdr:row>
                <xdr:rowOff>8626</xdr:rowOff>
              </to>
            </anchor>
          </objectPr>
        </oleObject>
      </mc:Choice>
      <mc:Fallback>
        <oleObject progId="Equation.3" shapeId="47106" r:id="rId6"/>
      </mc:Fallback>
    </mc:AlternateContent>
    <mc:AlternateContent xmlns:mc="http://schemas.openxmlformats.org/markup-compatibility/2006">
      <mc:Choice Requires="x14">
        <oleObject progId="Equation.3" shapeId="47107" r:id="rId8">
          <objectPr defaultSize="0" autoPict="0" r:id="rId9">
            <anchor moveWithCells="1" sizeWithCells="1">
              <from>
                <xdr:col>11</xdr:col>
                <xdr:colOff>17253</xdr:colOff>
                <xdr:row>9</xdr:row>
                <xdr:rowOff>0</xdr:rowOff>
              </from>
              <to>
                <xdr:col>15</xdr:col>
                <xdr:colOff>543464</xdr:colOff>
                <xdr:row>11</xdr:row>
                <xdr:rowOff>8626</xdr:rowOff>
              </to>
            </anchor>
          </objectPr>
        </oleObject>
      </mc:Choice>
      <mc:Fallback>
        <oleObject progId="Equation.3" shapeId="47107" r:id="rId8"/>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8"/>
  <sheetViews>
    <sheetView zoomScale="130" workbookViewId="0">
      <selection activeCell="D5" sqref="D5:E5"/>
    </sheetView>
  </sheetViews>
  <sheetFormatPr baseColWidth="10" defaultColWidth="11.375" defaultRowHeight="15.65"/>
  <cols>
    <col min="1" max="1" width="32.625" style="854" customWidth="1"/>
    <col min="2" max="3" width="15.75" style="854" customWidth="1"/>
    <col min="4" max="5" width="13.25" style="854" customWidth="1"/>
    <col min="6" max="17" width="9.375" style="855" customWidth="1"/>
    <col min="18" max="22" width="11.375" style="853"/>
    <col min="23" max="23" width="12.625" style="853" bestFit="1" customWidth="1"/>
    <col min="24" max="24" width="12" style="853" bestFit="1" customWidth="1"/>
    <col min="25" max="25" width="2.125" style="856" customWidth="1"/>
    <col min="26" max="26" width="10" style="853" customWidth="1"/>
    <col min="27" max="27" width="9.125" style="853" customWidth="1"/>
    <col min="28" max="28" width="6.125" style="853" customWidth="1"/>
    <col min="29" max="32" width="11.375" style="853"/>
    <col min="33" max="33" width="18.125" style="853" customWidth="1"/>
    <col min="34" max="34" width="3.375" style="853" customWidth="1"/>
    <col min="35" max="37" width="11.375" style="853"/>
    <col min="38" max="38" width="18.25" style="853" customWidth="1"/>
    <col min="39" max="44" width="11.375" style="853"/>
    <col min="45" max="45" width="13.75" style="853" customWidth="1"/>
    <col min="46" max="51" width="11.375" style="853"/>
    <col min="52" max="52" width="13.25" style="853" customWidth="1"/>
    <col min="53" max="16384" width="11.375" style="853"/>
  </cols>
  <sheetData>
    <row r="1" spans="1:18" ht="18" customHeight="1">
      <c r="A1" s="1374" t="s">
        <v>813</v>
      </c>
      <c r="B1" s="1374"/>
      <c r="C1" s="1374"/>
      <c r="D1" s="1374"/>
      <c r="E1" s="1374"/>
    </row>
    <row r="2" spans="1:18" ht="6.8" customHeight="1">
      <c r="A2" s="853"/>
      <c r="B2" s="853"/>
    </row>
    <row r="3" spans="1:18" ht="17">
      <c r="A3" s="1133" t="s">
        <v>254</v>
      </c>
      <c r="B3" s="1078"/>
      <c r="C3" s="1379" t="s">
        <v>253</v>
      </c>
      <c r="D3" s="1249"/>
      <c r="E3" s="853"/>
    </row>
    <row r="4" spans="1:18">
      <c r="A4" s="1155" t="s">
        <v>270</v>
      </c>
      <c r="B4" s="1078"/>
      <c r="C4" s="1152"/>
      <c r="D4" s="927"/>
      <c r="E4" s="1153"/>
    </row>
    <row r="5" spans="1:18">
      <c r="A5" s="1151"/>
      <c r="B5" s="1078"/>
      <c r="C5" s="1152"/>
      <c r="D5" s="1380" t="s">
        <v>872</v>
      </c>
      <c r="E5" s="1251"/>
    </row>
    <row r="6" spans="1:18" ht="16.3" thickBot="1">
      <c r="A6" s="1375" t="s">
        <v>237</v>
      </c>
      <c r="B6" s="1376"/>
      <c r="C6" s="1376"/>
      <c r="D6" s="1376"/>
    </row>
    <row r="7" spans="1:18" ht="16.3" thickBot="1">
      <c r="C7" s="1127" t="s">
        <v>243</v>
      </c>
      <c r="D7" s="1121" t="str">
        <f>INDEX(B92:B215,A91,1)</f>
        <v>A2</v>
      </c>
    </row>
    <row r="8" spans="1:18" ht="16.3" thickBot="1">
      <c r="B8" s="1381" t="s">
        <v>240</v>
      </c>
      <c r="C8" s="1382"/>
      <c r="D8" s="1121">
        <f>INDEX(C92:C215,A91,1)</f>
        <v>0.45</v>
      </c>
      <c r="E8" s="1113" t="s">
        <v>814</v>
      </c>
    </row>
    <row r="9" spans="1:18" ht="16.3" thickBot="1">
      <c r="B9" s="1381" t="s">
        <v>235</v>
      </c>
      <c r="C9" s="1383"/>
      <c r="D9" s="1128">
        <f>INDEX(D92:D215,A91,1)</f>
        <v>1</v>
      </c>
      <c r="E9" s="1113" t="s">
        <v>814</v>
      </c>
    </row>
    <row r="10" spans="1:18">
      <c r="B10" s="1118"/>
      <c r="C10" s="1131"/>
      <c r="D10" s="1129"/>
      <c r="E10" s="1120"/>
    </row>
    <row r="11" spans="1:18" ht="16.3" thickBot="1">
      <c r="A11" s="1122" t="s">
        <v>239</v>
      </c>
      <c r="B11" s="1123"/>
    </row>
    <row r="12" spans="1:18" ht="16.3" thickBot="1">
      <c r="B12" s="1125"/>
      <c r="C12" s="1124" t="s">
        <v>238</v>
      </c>
      <c r="D12" s="1121">
        <v>200</v>
      </c>
      <c r="E12" s="1120" t="s">
        <v>1126</v>
      </c>
      <c r="R12" s="1157">
        <v>578</v>
      </c>
    </row>
    <row r="13" spans="1:18" ht="16.3" thickBot="1">
      <c r="A13" s="1377" t="s">
        <v>241</v>
      </c>
      <c r="B13" s="1378"/>
      <c r="C13" s="1378"/>
      <c r="D13" s="1132">
        <f>(IF(D7="E",INDEX(C217:C219,D217,1),INDEX(B217:B219,D217,1)))+D8</f>
        <v>0.45</v>
      </c>
      <c r="E13" s="1120" t="s">
        <v>814</v>
      </c>
    </row>
    <row r="14" spans="1:18" ht="16.3" thickBot="1">
      <c r="A14" s="1377" t="s">
        <v>246</v>
      </c>
      <c r="B14" s="1378"/>
      <c r="C14" s="1378"/>
      <c r="D14" s="1149">
        <f>IF(D9="RAS","RAS",D9/D13)</f>
        <v>2.2222222222222223</v>
      </c>
      <c r="E14" s="1120"/>
    </row>
    <row r="15" spans="1:18">
      <c r="A15" s="1122" t="s">
        <v>322</v>
      </c>
      <c r="B15" s="944"/>
      <c r="C15" s="944"/>
      <c r="D15" s="1129"/>
      <c r="E15" s="1120"/>
    </row>
    <row r="16" spans="1:18">
      <c r="A16" s="1122"/>
      <c r="B16" s="944"/>
      <c r="C16" s="944"/>
      <c r="D16" s="1129"/>
      <c r="E16" s="1120"/>
    </row>
    <row r="17" spans="1:20">
      <c r="A17" s="1122"/>
      <c r="B17" s="944"/>
      <c r="C17" s="944"/>
      <c r="D17" s="1129"/>
      <c r="E17" s="1120"/>
    </row>
    <row r="18" spans="1:20">
      <c r="A18" s="1122"/>
      <c r="B18" s="944"/>
      <c r="C18" s="944"/>
      <c r="D18" s="1129"/>
      <c r="E18" s="1120"/>
    </row>
    <row r="19" spans="1:20">
      <c r="A19" s="1122"/>
      <c r="B19" s="944"/>
      <c r="C19" s="944"/>
      <c r="D19" s="1129"/>
      <c r="E19" s="1120"/>
    </row>
    <row r="20" spans="1:20">
      <c r="A20" s="1122"/>
      <c r="B20" s="944"/>
      <c r="C20" s="944"/>
      <c r="D20" s="1129"/>
      <c r="E20" s="1120"/>
    </row>
    <row r="21" spans="1:20">
      <c r="A21" s="1122"/>
      <c r="B21" s="944"/>
      <c r="C21" s="944"/>
      <c r="D21" s="1129"/>
      <c r="E21" s="1120"/>
    </row>
    <row r="22" spans="1:20">
      <c r="A22" s="1122"/>
      <c r="B22" s="931" t="s">
        <v>247</v>
      </c>
      <c r="C22" s="931" t="s">
        <v>248</v>
      </c>
      <c r="D22" s="1137" t="s">
        <v>255</v>
      </c>
      <c r="E22" s="1137" t="s">
        <v>256</v>
      </c>
    </row>
    <row r="23" spans="1:20" ht="12.1" customHeight="1">
      <c r="A23" s="1122"/>
      <c r="B23" s="1135" t="s">
        <v>249</v>
      </c>
      <c r="C23" s="1135" t="s">
        <v>250</v>
      </c>
      <c r="D23" s="1129"/>
      <c r="E23" s="1113"/>
    </row>
    <row r="24" spans="1:20">
      <c r="A24" s="1130" t="s">
        <v>817</v>
      </c>
      <c r="B24" s="1158">
        <v>0.1</v>
      </c>
      <c r="C24" s="1138" t="s">
        <v>251</v>
      </c>
      <c r="D24" s="1134">
        <f>IF(B24&lt;57.7%,0.8,IF(B24&gt;173.2%,0,(0.8*(60-R24)/30)))</f>
        <v>0.8</v>
      </c>
      <c r="E24" s="1138" t="s">
        <v>251</v>
      </c>
      <c r="R24" s="1117">
        <f>ATAN(B24)/6.28*360</f>
        <v>5.713489633251327</v>
      </c>
      <c r="S24" s="1117"/>
    </row>
    <row r="25" spans="1:20">
      <c r="A25" s="1130" t="s">
        <v>818</v>
      </c>
      <c r="B25" s="1158">
        <v>0.36</v>
      </c>
      <c r="C25" s="1158">
        <v>0.36</v>
      </c>
      <c r="D25" s="1134">
        <f>IF(B25&lt;57.7%,0.8,IF(B25&gt;173.2%,0,(0.8*(60-R25)/30)))</f>
        <v>0.8</v>
      </c>
      <c r="E25" s="1134">
        <f>IF(C25&lt;57.7%,0.8,IF(C25&gt;173.2%,0,(0.8*(60-S25)/30)))</f>
        <v>0.8</v>
      </c>
      <c r="R25" s="1117">
        <f>ATAN(B25)/6.28*360</f>
        <v>19.808918632072672</v>
      </c>
      <c r="S25" s="1117">
        <f>ATAN(C25)/6.28*360</f>
        <v>19.808918632072672</v>
      </c>
    </row>
    <row r="26" spans="1:20">
      <c r="A26" s="1130" t="s">
        <v>819</v>
      </c>
      <c r="B26" s="1158">
        <v>0.75</v>
      </c>
      <c r="C26" s="1158">
        <v>0.6</v>
      </c>
      <c r="D26" s="1134">
        <f>IF(B26&lt;57.7%,0.8,IF(B26&gt;173.2%,0,(0.8*(60-R26)/30)))</f>
        <v>0.61630403751345086</v>
      </c>
      <c r="E26" s="1134">
        <f>IF(C26&lt;57.7%,0.8,IF(C26&gt;173.2%,0,(0.8*(60-S26)/30)))</f>
        <v>0.77388101869464854</v>
      </c>
      <c r="R26" s="1117">
        <f>ATAN(B26)/6.28*360</f>
        <v>36.888598593245597</v>
      </c>
      <c r="S26" s="1117">
        <f>ATAN(C26)/6.28*360</f>
        <v>30.97946179895068</v>
      </c>
      <c r="T26" s="1117">
        <f>(R26+S26)/2</f>
        <v>33.934030196098135</v>
      </c>
    </row>
    <row r="27" spans="1:20">
      <c r="B27" s="857"/>
      <c r="C27" s="857"/>
      <c r="D27" s="1137" t="s">
        <v>257</v>
      </c>
      <c r="E27" s="1134">
        <f>IF(T26&gt;30,1.6,(0.8+0.8*T26)/30)</f>
        <v>1.6</v>
      </c>
    </row>
    <row r="28" spans="1:20">
      <c r="A28" s="853"/>
      <c r="B28" s="1136" t="s">
        <v>821</v>
      </c>
      <c r="C28" s="1136" t="s">
        <v>822</v>
      </c>
      <c r="D28" s="1129"/>
      <c r="E28" s="1113"/>
    </row>
    <row r="29" spans="1:20">
      <c r="A29" s="1130" t="s">
        <v>820</v>
      </c>
      <c r="B29" s="1159">
        <v>13</v>
      </c>
      <c r="C29" s="1159">
        <v>2</v>
      </c>
      <c r="D29" s="1137" t="s">
        <v>258</v>
      </c>
      <c r="E29" s="1134">
        <f>IF(S29&gt;2,2,S29)</f>
        <v>1.7384615384615385</v>
      </c>
      <c r="R29" s="853">
        <f>C29/B29</f>
        <v>0.15384615384615385</v>
      </c>
      <c r="S29" s="853">
        <f>0.2+(10*R29)</f>
        <v>1.7384615384615385</v>
      </c>
    </row>
    <row r="30" spans="1:20">
      <c r="A30" s="1122" t="s">
        <v>252</v>
      </c>
      <c r="B30" s="944"/>
      <c r="C30" s="944"/>
      <c r="D30" s="1129"/>
      <c r="E30" s="1120"/>
    </row>
    <row r="31" spans="1:20">
      <c r="A31" s="1147" t="s">
        <v>814</v>
      </c>
      <c r="B31" s="933" t="s">
        <v>259</v>
      </c>
      <c r="C31" s="933" t="s">
        <v>259</v>
      </c>
      <c r="D31" s="1139"/>
      <c r="E31" s="1139"/>
    </row>
    <row r="32" spans="1:20">
      <c r="A32" s="1145" t="s">
        <v>817</v>
      </c>
      <c r="B32" s="930" t="s">
        <v>260</v>
      </c>
      <c r="C32" s="930" t="s">
        <v>261</v>
      </c>
      <c r="D32" s="1129"/>
      <c r="E32" s="1125"/>
    </row>
    <row r="33" spans="1:5">
      <c r="A33" s="1143" t="s">
        <v>263</v>
      </c>
      <c r="B33" s="1148">
        <f>IF(B24&gt;5.01%,0,IF(B24&lt;3%,0.2,0.1))</f>
        <v>0</v>
      </c>
      <c r="C33" s="1138" t="s">
        <v>251</v>
      </c>
      <c r="D33" s="1144"/>
      <c r="E33" s="1141"/>
    </row>
    <row r="34" spans="1:5">
      <c r="A34" s="1142" t="s">
        <v>262</v>
      </c>
      <c r="B34" s="1150">
        <f>B33+(D13*D24)</f>
        <v>0.36000000000000004</v>
      </c>
      <c r="C34" s="1138" t="s">
        <v>251</v>
      </c>
      <c r="D34" s="1140"/>
      <c r="E34" s="1140"/>
    </row>
    <row r="35" spans="1:5">
      <c r="D35" s="1140"/>
      <c r="E35" s="1140"/>
    </row>
    <row r="36" spans="1:5">
      <c r="A36" s="1147" t="s">
        <v>814</v>
      </c>
      <c r="B36" s="933" t="s">
        <v>259</v>
      </c>
      <c r="C36" s="933" t="s">
        <v>259</v>
      </c>
      <c r="D36" s="1139"/>
      <c r="E36" s="1140"/>
    </row>
    <row r="37" spans="1:5">
      <c r="A37" s="1146" t="s">
        <v>818</v>
      </c>
      <c r="B37" s="930" t="s">
        <v>260</v>
      </c>
      <c r="C37" s="930" t="s">
        <v>261</v>
      </c>
      <c r="D37" s="1129"/>
      <c r="E37" s="1125"/>
    </row>
    <row r="38" spans="1:5">
      <c r="A38" s="1143" t="s">
        <v>263</v>
      </c>
      <c r="B38" s="1148">
        <f>IF(B25&gt;5.01%,0,IF(B25&lt;3%,0.2,0.1))</f>
        <v>0</v>
      </c>
      <c r="C38" s="1148">
        <f>IF(C25&gt;5.01%,0,IF(C25&lt;3%,0.2,0.1))</f>
        <v>0</v>
      </c>
      <c r="E38" s="1125"/>
    </row>
    <row r="39" spans="1:5">
      <c r="A39" s="1142" t="s">
        <v>262</v>
      </c>
      <c r="B39" s="1150">
        <f>B38+(D13*D25)</f>
        <v>0.36000000000000004</v>
      </c>
      <c r="C39" s="1150">
        <f>C38+(D13*E25)</f>
        <v>0.36000000000000004</v>
      </c>
      <c r="D39" s="1140"/>
      <c r="E39" s="1125"/>
    </row>
    <row r="40" spans="1:5">
      <c r="A40" s="1142" t="s">
        <v>264</v>
      </c>
      <c r="B40" s="1150">
        <f>B39/2</f>
        <v>0.18000000000000002</v>
      </c>
      <c r="C40" s="1150">
        <f>C39</f>
        <v>0.36000000000000004</v>
      </c>
      <c r="D40" s="1140"/>
      <c r="E40" s="1125"/>
    </row>
    <row r="41" spans="1:5">
      <c r="A41" s="1142" t="s">
        <v>265</v>
      </c>
      <c r="B41" s="1150">
        <f>B39</f>
        <v>0.36000000000000004</v>
      </c>
      <c r="C41" s="1150">
        <f>C39/2</f>
        <v>0.18000000000000002</v>
      </c>
      <c r="D41" s="1144"/>
      <c r="E41" s="1140"/>
    </row>
    <row r="42" spans="1:5">
      <c r="A42" s="1142"/>
      <c r="B42" s="855"/>
      <c r="C42" s="855"/>
      <c r="D42" s="1144"/>
      <c r="E42" s="1140"/>
    </row>
    <row r="43" spans="1:5">
      <c r="A43" s="1147" t="s">
        <v>814</v>
      </c>
      <c r="B43" s="933" t="s">
        <v>259</v>
      </c>
      <c r="C43" s="933" t="s">
        <v>259</v>
      </c>
      <c r="D43" s="1144"/>
      <c r="E43" s="1140"/>
    </row>
    <row r="44" spans="1:5">
      <c r="A44" s="1146" t="s">
        <v>266</v>
      </c>
      <c r="B44" s="930" t="s">
        <v>260</v>
      </c>
      <c r="C44" s="930" t="s">
        <v>261</v>
      </c>
      <c r="D44" s="1144"/>
      <c r="E44" s="1140"/>
    </row>
    <row r="45" spans="1:5">
      <c r="A45" s="1143" t="s">
        <v>263</v>
      </c>
      <c r="B45" s="1148">
        <f>IF(B26&gt;5.01%,0,IF(B26&lt;3%,0.2,0.1))</f>
        <v>0</v>
      </c>
      <c r="C45" s="1148">
        <f>IF(C32&gt;5.01%,0,IF(C32&lt;3%,0.2,0.1))</f>
        <v>0</v>
      </c>
      <c r="D45" s="1144"/>
      <c r="E45" s="1140"/>
    </row>
    <row r="46" spans="1:5">
      <c r="A46" s="1142" t="s">
        <v>262</v>
      </c>
      <c r="B46" s="1150">
        <f>B45+(D13*D26)</f>
        <v>0.27733681688105288</v>
      </c>
      <c r="C46" s="1150">
        <f>C45+(D13*E26)</f>
        <v>0.34824645841259183</v>
      </c>
      <c r="D46" s="1144"/>
      <c r="E46" s="1140"/>
    </row>
    <row r="47" spans="1:5">
      <c r="A47" s="1142" t="s">
        <v>264</v>
      </c>
      <c r="B47" s="1150">
        <f>B46</f>
        <v>0.27733681688105288</v>
      </c>
      <c r="C47" s="1150">
        <f>C45+(D13*E27)</f>
        <v>0.72000000000000008</v>
      </c>
      <c r="D47" s="1150">
        <f>C46</f>
        <v>0.34824645841259183</v>
      </c>
      <c r="E47" s="536"/>
    </row>
    <row r="48" spans="1:5">
      <c r="A48" s="1142"/>
      <c r="B48" s="855"/>
      <c r="C48" s="855"/>
      <c r="D48" s="1144"/>
      <c r="E48" s="1140"/>
    </row>
    <row r="49" spans="1:5">
      <c r="A49" s="1146" t="s">
        <v>820</v>
      </c>
      <c r="B49" s="931" t="s">
        <v>259</v>
      </c>
      <c r="C49" s="932"/>
      <c r="D49" s="1144"/>
      <c r="E49" s="1140"/>
    </row>
    <row r="50" spans="1:5">
      <c r="A50" s="1142" t="s">
        <v>262</v>
      </c>
      <c r="B50" s="1150">
        <f>(D13*0.8)</f>
        <v>0.36000000000000004</v>
      </c>
      <c r="C50" s="536"/>
      <c r="D50" s="1144"/>
      <c r="E50" s="1140"/>
    </row>
    <row r="51" spans="1:5">
      <c r="B51" s="1154" t="s">
        <v>267</v>
      </c>
      <c r="C51" s="1154" t="s">
        <v>268</v>
      </c>
      <c r="D51" s="1154" t="s">
        <v>269</v>
      </c>
      <c r="E51" s="1140"/>
    </row>
    <row r="52" spans="1:5">
      <c r="A52" s="1142" t="s">
        <v>264</v>
      </c>
      <c r="B52" s="1150">
        <f>(D13*E29*0.5)</f>
        <v>0.39115384615384619</v>
      </c>
      <c r="C52" s="1150">
        <f>B52*2</f>
        <v>0.78230769230769237</v>
      </c>
      <c r="D52" s="1150">
        <f>B52</f>
        <v>0.39115384615384619</v>
      </c>
      <c r="E52" s="1140"/>
    </row>
    <row r="53" spans="1:5">
      <c r="E53" s="1140"/>
    </row>
    <row r="54" spans="1:5">
      <c r="A54" s="1142"/>
      <c r="B54" s="855"/>
      <c r="C54" s="855"/>
      <c r="D54" s="1144"/>
      <c r="E54" s="1140"/>
    </row>
    <row r="55" spans="1:5">
      <c r="A55" s="1142"/>
      <c r="B55" s="855"/>
      <c r="C55" s="855"/>
      <c r="D55" s="1144"/>
      <c r="E55" s="1140"/>
    </row>
    <row r="56" spans="1:5">
      <c r="A56" s="1122"/>
      <c r="B56" s="944"/>
      <c r="C56" s="944"/>
      <c r="D56" s="1129"/>
      <c r="E56" s="1120"/>
    </row>
    <row r="57" spans="1:5">
      <c r="A57" s="1122"/>
      <c r="B57" s="944"/>
      <c r="C57" s="944"/>
      <c r="D57" s="1129"/>
      <c r="E57" s="1120"/>
    </row>
    <row r="58" spans="1:5">
      <c r="A58" s="1122"/>
      <c r="B58" s="944"/>
      <c r="C58" s="944"/>
      <c r="D58" s="1129"/>
      <c r="E58" s="1120"/>
    </row>
    <row r="91" spans="1:4">
      <c r="A91" s="1156">
        <v>82</v>
      </c>
      <c r="B91" s="853"/>
    </row>
    <row r="92" spans="1:4">
      <c r="A92" s="1114" t="s">
        <v>271</v>
      </c>
      <c r="B92" s="1114" t="s">
        <v>233</v>
      </c>
      <c r="C92" s="853">
        <v>0.45</v>
      </c>
      <c r="D92" s="853">
        <v>1.35</v>
      </c>
    </row>
    <row r="93" spans="1:4">
      <c r="A93" s="1114" t="s">
        <v>272</v>
      </c>
      <c r="B93" s="1115" t="s">
        <v>879</v>
      </c>
      <c r="C93" s="853">
        <v>0.65</v>
      </c>
      <c r="D93" s="1117">
        <v>1</v>
      </c>
    </row>
    <row r="94" spans="1:4">
      <c r="A94" s="1114" t="s">
        <v>273</v>
      </c>
      <c r="B94" s="1114" t="s">
        <v>234</v>
      </c>
      <c r="C94" s="853">
        <v>0.45</v>
      </c>
      <c r="D94" s="1119" t="s">
        <v>236</v>
      </c>
    </row>
    <row r="95" spans="1:4">
      <c r="A95" s="1114" t="s">
        <v>274</v>
      </c>
      <c r="B95" s="1115" t="s">
        <v>878</v>
      </c>
      <c r="C95" s="853">
        <v>0.65</v>
      </c>
      <c r="D95" s="1119" t="s">
        <v>236</v>
      </c>
    </row>
    <row r="96" spans="1:4">
      <c r="A96" s="1114" t="s">
        <v>165</v>
      </c>
      <c r="B96" s="1114" t="s">
        <v>71</v>
      </c>
      <c r="C96" s="853">
        <v>0.45</v>
      </c>
      <c r="D96" s="1119" t="s">
        <v>236</v>
      </c>
    </row>
    <row r="97" spans="1:17">
      <c r="A97" s="1114" t="s">
        <v>166</v>
      </c>
      <c r="B97" s="1114" t="s">
        <v>878</v>
      </c>
      <c r="C97" s="853">
        <v>0.65</v>
      </c>
      <c r="D97" s="1119" t="s">
        <v>236</v>
      </c>
    </row>
    <row r="98" spans="1:17">
      <c r="A98" s="1114" t="s">
        <v>168</v>
      </c>
      <c r="B98" s="1114" t="s">
        <v>878</v>
      </c>
      <c r="C98" s="853">
        <v>0.65</v>
      </c>
      <c r="D98" s="1119" t="s">
        <v>236</v>
      </c>
    </row>
    <row r="99" spans="1:17">
      <c r="A99" s="1114" t="s">
        <v>275</v>
      </c>
      <c r="B99" s="1114" t="s">
        <v>71</v>
      </c>
      <c r="C99" s="853">
        <v>0.45</v>
      </c>
      <c r="D99" s="1117">
        <v>1</v>
      </c>
    </row>
    <row r="100" spans="1:17">
      <c r="A100" s="1114" t="s">
        <v>276</v>
      </c>
      <c r="B100" s="1114" t="s">
        <v>878</v>
      </c>
      <c r="C100" s="853">
        <v>0.65</v>
      </c>
      <c r="D100" s="1119" t="s">
        <v>236</v>
      </c>
    </row>
    <row r="101" spans="1:17">
      <c r="A101" s="1114" t="s">
        <v>173</v>
      </c>
      <c r="B101" s="1114" t="s">
        <v>879</v>
      </c>
      <c r="C101" s="853">
        <v>0.65</v>
      </c>
      <c r="D101" s="853">
        <v>1.35</v>
      </c>
    </row>
    <row r="102" spans="1:17">
      <c r="A102" s="1114" t="s">
        <v>277</v>
      </c>
      <c r="B102" s="1114" t="s">
        <v>69</v>
      </c>
      <c r="C102" s="853">
        <v>0.45</v>
      </c>
      <c r="D102" s="1119" t="s">
        <v>236</v>
      </c>
    </row>
    <row r="103" spans="1:17">
      <c r="A103" s="1114" t="s">
        <v>278</v>
      </c>
      <c r="B103" s="1114" t="s">
        <v>878</v>
      </c>
      <c r="C103" s="853">
        <v>0.65</v>
      </c>
      <c r="D103" s="1119" t="s">
        <v>236</v>
      </c>
    </row>
    <row r="104" spans="1:17">
      <c r="A104" s="1114" t="s">
        <v>175</v>
      </c>
      <c r="B104" s="1114" t="s">
        <v>233</v>
      </c>
      <c r="C104" s="853">
        <v>0.45</v>
      </c>
      <c r="D104" s="1117">
        <v>1</v>
      </c>
    </row>
    <row r="105" spans="1:17">
      <c r="A105" s="1114" t="s">
        <v>175</v>
      </c>
      <c r="B105" s="1114" t="s">
        <v>879</v>
      </c>
      <c r="C105" s="853">
        <v>0.65</v>
      </c>
      <c r="D105" s="853">
        <v>1.35</v>
      </c>
    </row>
    <row r="106" spans="1:17">
      <c r="A106" s="1114" t="s">
        <v>279</v>
      </c>
      <c r="B106" s="1114" t="s">
        <v>69</v>
      </c>
      <c r="C106" s="853">
        <v>0.45</v>
      </c>
      <c r="D106" s="1119" t="s">
        <v>236</v>
      </c>
    </row>
    <row r="107" spans="1:17">
      <c r="A107" s="1114" t="s">
        <v>280</v>
      </c>
      <c r="B107" s="1114" t="s">
        <v>879</v>
      </c>
      <c r="C107" s="853">
        <v>0.65</v>
      </c>
      <c r="D107" s="853">
        <v>1.35</v>
      </c>
    </row>
    <row r="108" spans="1:17">
      <c r="A108" s="1114" t="s">
        <v>281</v>
      </c>
      <c r="B108" s="1114" t="s">
        <v>3</v>
      </c>
      <c r="C108" s="853">
        <v>0.9</v>
      </c>
      <c r="D108" s="853">
        <v>1.4</v>
      </c>
    </row>
    <row r="109" spans="1:17">
      <c r="A109" s="1114" t="s">
        <v>180</v>
      </c>
      <c r="B109" s="1114" t="s">
        <v>71</v>
      </c>
      <c r="C109" s="853">
        <v>0.45</v>
      </c>
      <c r="D109" s="1117">
        <v>1</v>
      </c>
      <c r="F109" s="1116"/>
      <c r="G109" s="1116"/>
      <c r="H109" s="1116"/>
      <c r="I109" s="1116"/>
      <c r="J109" s="1116"/>
      <c r="K109" s="1116"/>
      <c r="L109" s="1116"/>
      <c r="M109" s="1116"/>
      <c r="N109" s="1116"/>
      <c r="O109" s="1116"/>
      <c r="P109" s="1116"/>
      <c r="Q109" s="1116"/>
    </row>
    <row r="110" spans="1:17">
      <c r="A110" s="1114" t="s">
        <v>183</v>
      </c>
      <c r="B110" s="1114" t="s">
        <v>71</v>
      </c>
      <c r="C110" s="853">
        <v>0.45</v>
      </c>
      <c r="D110" s="1117">
        <v>1</v>
      </c>
      <c r="F110" s="1116"/>
      <c r="G110" s="1116"/>
      <c r="H110" s="1116"/>
      <c r="I110" s="1116"/>
      <c r="J110" s="1116"/>
      <c r="K110" s="1116"/>
      <c r="L110" s="1116"/>
      <c r="M110" s="1116"/>
      <c r="N110" s="1116"/>
      <c r="O110" s="1116"/>
      <c r="P110" s="1116"/>
      <c r="Q110" s="1116"/>
    </row>
    <row r="111" spans="1:17">
      <c r="A111" s="1114" t="s">
        <v>186</v>
      </c>
      <c r="B111" s="1114" t="s">
        <v>69</v>
      </c>
      <c r="C111" s="853">
        <v>0.45</v>
      </c>
      <c r="D111" s="1119" t="s">
        <v>236</v>
      </c>
      <c r="F111" s="1116"/>
      <c r="G111" s="1116"/>
      <c r="H111" s="1116"/>
      <c r="I111" s="1116"/>
      <c r="J111" s="1116"/>
      <c r="K111" s="1116"/>
      <c r="L111" s="1116"/>
      <c r="M111" s="1116"/>
      <c r="N111" s="1116"/>
      <c r="O111" s="1116"/>
      <c r="P111" s="1116"/>
      <c r="Q111" s="1116"/>
    </row>
    <row r="112" spans="1:17">
      <c r="A112" s="1114" t="s">
        <v>189</v>
      </c>
      <c r="B112" s="1114" t="s">
        <v>71</v>
      </c>
      <c r="C112" s="853">
        <v>0.45</v>
      </c>
      <c r="D112" s="1117">
        <v>1</v>
      </c>
      <c r="F112" s="1116"/>
      <c r="G112" s="1116"/>
      <c r="H112" s="1116"/>
      <c r="I112" s="1116"/>
      <c r="J112" s="1116"/>
      <c r="K112" s="1116"/>
      <c r="L112" s="1116"/>
      <c r="M112" s="1116"/>
      <c r="N112" s="1116"/>
      <c r="O112" s="1116"/>
      <c r="P112" s="1116"/>
      <c r="Q112" s="1116"/>
    </row>
    <row r="113" spans="1:17">
      <c r="A113" s="1114" t="s">
        <v>192</v>
      </c>
      <c r="B113" s="1114" t="s">
        <v>71</v>
      </c>
      <c r="C113" s="853">
        <v>0.45</v>
      </c>
      <c r="D113" s="1117">
        <v>1</v>
      </c>
      <c r="F113" s="1116"/>
      <c r="G113" s="1116"/>
      <c r="H113" s="1116"/>
      <c r="I113" s="1116"/>
      <c r="J113" s="1116"/>
      <c r="K113" s="1116"/>
      <c r="L113" s="1116"/>
      <c r="M113" s="1116"/>
      <c r="N113" s="1116"/>
      <c r="O113" s="1116"/>
      <c r="P113" s="1116"/>
      <c r="Q113" s="1116"/>
    </row>
    <row r="114" spans="1:17">
      <c r="A114" s="1114" t="s">
        <v>195</v>
      </c>
      <c r="B114" s="1114" t="s">
        <v>71</v>
      </c>
      <c r="C114" s="853">
        <v>0.45</v>
      </c>
      <c r="D114" s="1117">
        <v>1</v>
      </c>
      <c r="F114" s="1116"/>
      <c r="G114" s="1116"/>
      <c r="H114" s="1116"/>
      <c r="I114" s="1116"/>
      <c r="J114" s="1116"/>
      <c r="K114" s="1116"/>
      <c r="L114" s="1116"/>
      <c r="M114" s="1116"/>
      <c r="N114" s="1116"/>
      <c r="O114" s="1116"/>
      <c r="P114" s="1116"/>
      <c r="Q114" s="1116"/>
    </row>
    <row r="115" spans="1:17">
      <c r="A115" s="1114" t="s">
        <v>198</v>
      </c>
      <c r="B115" s="1114" t="s">
        <v>69</v>
      </c>
      <c r="C115" s="853">
        <v>0.45</v>
      </c>
      <c r="D115" s="1119" t="s">
        <v>236</v>
      </c>
      <c r="F115" s="1116"/>
      <c r="G115" s="1116"/>
      <c r="H115" s="1116"/>
      <c r="I115" s="1116"/>
      <c r="J115" s="1116"/>
      <c r="K115" s="1116"/>
      <c r="L115" s="1116"/>
      <c r="M115" s="1116"/>
      <c r="N115" s="1116"/>
      <c r="O115" s="1116"/>
      <c r="P115" s="1116"/>
      <c r="Q115" s="1116"/>
    </row>
    <row r="116" spans="1:17">
      <c r="A116" s="1114" t="s">
        <v>200</v>
      </c>
      <c r="B116" s="1114" t="s">
        <v>71</v>
      </c>
      <c r="C116" s="853">
        <v>0.45</v>
      </c>
      <c r="D116" s="1117">
        <v>1</v>
      </c>
      <c r="F116" s="1116"/>
      <c r="G116" s="1116"/>
      <c r="H116" s="1116"/>
      <c r="I116" s="1116"/>
      <c r="J116" s="1116"/>
      <c r="K116" s="1116"/>
      <c r="L116" s="1116"/>
      <c r="M116" s="1116"/>
      <c r="N116" s="1116"/>
      <c r="O116" s="1116"/>
      <c r="P116" s="1116"/>
      <c r="Q116" s="1116"/>
    </row>
    <row r="117" spans="1:17">
      <c r="A117" s="1114" t="s">
        <v>207</v>
      </c>
      <c r="B117" s="1114" t="s">
        <v>69</v>
      </c>
      <c r="C117" s="853">
        <v>0.45</v>
      </c>
      <c r="D117" s="1119" t="s">
        <v>236</v>
      </c>
    </row>
    <row r="118" spans="1:17">
      <c r="A118" s="1114" t="s">
        <v>210</v>
      </c>
      <c r="B118" s="1114" t="s">
        <v>69</v>
      </c>
      <c r="C118" s="853">
        <v>0.45</v>
      </c>
      <c r="D118" s="1119" t="s">
        <v>236</v>
      </c>
    </row>
    <row r="119" spans="1:17">
      <c r="A119" s="1114" t="s">
        <v>212</v>
      </c>
      <c r="B119" s="1114" t="s">
        <v>71</v>
      </c>
      <c r="C119" s="853">
        <v>0.45</v>
      </c>
      <c r="D119" s="1117">
        <v>1</v>
      </c>
    </row>
    <row r="120" spans="1:17">
      <c r="A120" s="1114" t="s">
        <v>214</v>
      </c>
      <c r="B120" s="1114" t="s">
        <v>71</v>
      </c>
      <c r="C120" s="853">
        <v>0.45</v>
      </c>
      <c r="D120" s="1117">
        <v>1</v>
      </c>
    </row>
    <row r="121" spans="1:17">
      <c r="A121" s="1114" t="s">
        <v>282</v>
      </c>
      <c r="B121" s="1114" t="s">
        <v>815</v>
      </c>
      <c r="C121" s="853">
        <v>0.55000000000000004</v>
      </c>
      <c r="D121" s="1117">
        <v>1</v>
      </c>
    </row>
    <row r="122" spans="1:17">
      <c r="A122" s="1114" t="s">
        <v>283</v>
      </c>
      <c r="B122" s="1114" t="s">
        <v>878</v>
      </c>
      <c r="C122" s="853">
        <v>0.65</v>
      </c>
      <c r="D122" s="1119" t="s">
        <v>236</v>
      </c>
    </row>
    <row r="123" spans="1:17">
      <c r="A123" s="1114" t="s">
        <v>284</v>
      </c>
      <c r="B123" s="1114" t="s">
        <v>349</v>
      </c>
      <c r="C123" s="853">
        <v>1.4</v>
      </c>
      <c r="D123" s="1119" t="s">
        <v>236</v>
      </c>
    </row>
    <row r="124" spans="1:17">
      <c r="A124" s="1114" t="s">
        <v>217</v>
      </c>
      <c r="B124" s="1114" t="s">
        <v>879</v>
      </c>
      <c r="C124" s="853">
        <v>0.65</v>
      </c>
      <c r="D124" s="853">
        <v>1.35</v>
      </c>
    </row>
    <row r="125" spans="1:17">
      <c r="A125" s="1114" t="s">
        <v>220</v>
      </c>
      <c r="B125" s="1114" t="s">
        <v>69</v>
      </c>
      <c r="C125" s="853">
        <v>0.45</v>
      </c>
      <c r="D125" s="1119" t="s">
        <v>236</v>
      </c>
    </row>
    <row r="126" spans="1:17">
      <c r="A126" s="1114" t="s">
        <v>222</v>
      </c>
      <c r="B126" s="1114" t="s">
        <v>69</v>
      </c>
      <c r="C126" s="853">
        <v>0.45</v>
      </c>
      <c r="D126" s="1119" t="s">
        <v>236</v>
      </c>
    </row>
    <row r="127" spans="1:17">
      <c r="A127" s="1114" t="s">
        <v>225</v>
      </c>
      <c r="B127" s="1114" t="s">
        <v>69</v>
      </c>
      <c r="C127" s="853">
        <v>0.45</v>
      </c>
      <c r="D127" s="1119" t="s">
        <v>236</v>
      </c>
    </row>
    <row r="128" spans="1:17">
      <c r="A128" s="1114" t="s">
        <v>205</v>
      </c>
      <c r="B128" s="1114" t="s">
        <v>71</v>
      </c>
      <c r="C128" s="853">
        <v>0.45</v>
      </c>
      <c r="D128" s="1117">
        <v>1</v>
      </c>
    </row>
    <row r="129" spans="1:4">
      <c r="A129" s="1114" t="s">
        <v>203</v>
      </c>
      <c r="B129" s="1114" t="s">
        <v>71</v>
      </c>
      <c r="C129" s="853">
        <v>0.45</v>
      </c>
      <c r="D129" s="1117">
        <v>1</v>
      </c>
    </row>
    <row r="130" spans="1:4">
      <c r="A130" s="1114" t="s">
        <v>228</v>
      </c>
      <c r="B130" s="1114" t="s">
        <v>816</v>
      </c>
      <c r="C130" s="853">
        <v>0.55000000000000004</v>
      </c>
      <c r="D130" s="853">
        <v>1.35</v>
      </c>
    </row>
    <row r="131" spans="1:4">
      <c r="A131" s="1114" t="s">
        <v>285</v>
      </c>
      <c r="B131" s="1114" t="s">
        <v>71</v>
      </c>
      <c r="C131" s="853">
        <v>0.45</v>
      </c>
      <c r="D131" s="1117">
        <v>1</v>
      </c>
    </row>
    <row r="132" spans="1:4">
      <c r="A132" s="1114" t="s">
        <v>286</v>
      </c>
      <c r="B132" s="1114" t="s">
        <v>879</v>
      </c>
      <c r="C132" s="853">
        <v>0.65</v>
      </c>
      <c r="D132" s="853">
        <v>1.35</v>
      </c>
    </row>
    <row r="133" spans="1:4">
      <c r="A133" s="1114" t="s">
        <v>161</v>
      </c>
      <c r="B133" s="1114" t="s">
        <v>71</v>
      </c>
      <c r="C133" s="853">
        <v>0.45</v>
      </c>
      <c r="D133" s="1117">
        <v>1</v>
      </c>
    </row>
    <row r="134" spans="1:4">
      <c r="A134" s="1114" t="s">
        <v>163</v>
      </c>
      <c r="B134" s="1114" t="s">
        <v>71</v>
      </c>
      <c r="C134" s="853">
        <v>0.45</v>
      </c>
      <c r="D134" s="1117">
        <v>1</v>
      </c>
    </row>
    <row r="135" spans="1:4">
      <c r="A135" s="1114" t="s">
        <v>287</v>
      </c>
      <c r="B135" s="1114" t="s">
        <v>816</v>
      </c>
      <c r="C135" s="853">
        <v>0.55000000000000004</v>
      </c>
      <c r="D135" s="853">
        <v>1.35</v>
      </c>
    </row>
    <row r="136" spans="1:4">
      <c r="A136" s="1114" t="s">
        <v>288</v>
      </c>
      <c r="B136" s="1114" t="s">
        <v>879</v>
      </c>
      <c r="C136" s="853">
        <v>0.65</v>
      </c>
      <c r="D136" s="853">
        <v>1.35</v>
      </c>
    </row>
    <row r="137" spans="1:4">
      <c r="A137" s="1114" t="s">
        <v>167</v>
      </c>
      <c r="B137" s="1114" t="s">
        <v>69</v>
      </c>
      <c r="C137" s="853">
        <v>0.45</v>
      </c>
      <c r="D137" s="1119" t="s">
        <v>236</v>
      </c>
    </row>
    <row r="138" spans="1:4">
      <c r="A138" s="1114" t="s">
        <v>169</v>
      </c>
      <c r="B138" s="1114" t="s">
        <v>69</v>
      </c>
      <c r="C138" s="853">
        <v>0.45</v>
      </c>
      <c r="D138" s="1119" t="s">
        <v>236</v>
      </c>
    </row>
    <row r="139" spans="1:4">
      <c r="A139" s="1114" t="s">
        <v>171</v>
      </c>
      <c r="B139" s="1114" t="s">
        <v>69</v>
      </c>
      <c r="C139" s="853">
        <v>0.45</v>
      </c>
      <c r="D139" s="1119" t="s">
        <v>236</v>
      </c>
    </row>
    <row r="140" spans="1:4">
      <c r="A140" s="1114" t="s">
        <v>174</v>
      </c>
      <c r="B140" s="1114" t="s">
        <v>879</v>
      </c>
      <c r="C140" s="853">
        <v>0.65</v>
      </c>
      <c r="D140" s="853">
        <v>1.35</v>
      </c>
    </row>
    <row r="141" spans="1:4">
      <c r="A141" s="1114" t="s">
        <v>289</v>
      </c>
      <c r="B141" s="1114" t="s">
        <v>815</v>
      </c>
      <c r="C141" s="853">
        <v>0.55000000000000004</v>
      </c>
      <c r="D141" s="1117">
        <v>1</v>
      </c>
    </row>
    <row r="142" spans="1:4">
      <c r="A142" s="1114" t="s">
        <v>290</v>
      </c>
      <c r="B142" s="1114" t="s">
        <v>878</v>
      </c>
      <c r="C142" s="853">
        <v>0.65</v>
      </c>
      <c r="D142" s="1119" t="s">
        <v>236</v>
      </c>
    </row>
    <row r="143" spans="1:4">
      <c r="A143" s="1114" t="s">
        <v>176</v>
      </c>
      <c r="B143" s="1114" t="s">
        <v>71</v>
      </c>
      <c r="C143" s="853">
        <v>0.45</v>
      </c>
      <c r="D143" s="1117">
        <v>1</v>
      </c>
    </row>
    <row r="144" spans="1:4">
      <c r="A144" s="1114" t="s">
        <v>178</v>
      </c>
      <c r="B144" s="1114" t="s">
        <v>69</v>
      </c>
      <c r="C144" s="853">
        <v>0.45</v>
      </c>
      <c r="D144" s="1119" t="s">
        <v>236</v>
      </c>
    </row>
    <row r="145" spans="1:4">
      <c r="A145" s="1114" t="s">
        <v>179</v>
      </c>
      <c r="B145" s="1114" t="s">
        <v>71</v>
      </c>
      <c r="C145" s="853">
        <v>0.45</v>
      </c>
      <c r="D145" s="1117">
        <v>1</v>
      </c>
    </row>
    <row r="146" spans="1:4">
      <c r="A146" s="1114" t="s">
        <v>181</v>
      </c>
      <c r="B146" s="1114" t="s">
        <v>71</v>
      </c>
      <c r="C146" s="853">
        <v>0.45</v>
      </c>
      <c r="D146" s="1117">
        <v>1</v>
      </c>
    </row>
    <row r="147" spans="1:4">
      <c r="A147" s="1114" t="s">
        <v>184</v>
      </c>
      <c r="B147" s="1114" t="s">
        <v>69</v>
      </c>
      <c r="C147" s="853">
        <v>0.45</v>
      </c>
      <c r="D147" s="1119" t="s">
        <v>236</v>
      </c>
    </row>
    <row r="148" spans="1:4">
      <c r="A148" s="1114" t="s">
        <v>187</v>
      </c>
      <c r="B148" s="1114" t="s">
        <v>69</v>
      </c>
      <c r="C148" s="853">
        <v>0.45</v>
      </c>
      <c r="D148" s="1119" t="s">
        <v>236</v>
      </c>
    </row>
    <row r="149" spans="1:4">
      <c r="A149" s="1114" t="s">
        <v>190</v>
      </c>
      <c r="B149" s="1114" t="s">
        <v>71</v>
      </c>
      <c r="C149" s="853">
        <v>0.45</v>
      </c>
      <c r="D149" s="1117">
        <v>1</v>
      </c>
    </row>
    <row r="150" spans="1:4">
      <c r="A150" s="1114" t="s">
        <v>193</v>
      </c>
      <c r="B150" s="1114" t="s">
        <v>71</v>
      </c>
      <c r="C150" s="853">
        <v>0.45</v>
      </c>
      <c r="D150" s="1117">
        <v>1</v>
      </c>
    </row>
    <row r="151" spans="1:4">
      <c r="A151" s="1114" t="s">
        <v>196</v>
      </c>
      <c r="B151" s="1114" t="s">
        <v>71</v>
      </c>
      <c r="C151" s="853">
        <v>0.45</v>
      </c>
      <c r="D151" s="1117">
        <v>1</v>
      </c>
    </row>
    <row r="152" spans="1:4">
      <c r="A152" s="1114" t="s">
        <v>199</v>
      </c>
      <c r="B152" s="1114" t="s">
        <v>69</v>
      </c>
      <c r="C152" s="853">
        <v>0.45</v>
      </c>
      <c r="D152" s="1119" t="s">
        <v>236</v>
      </c>
    </row>
    <row r="153" spans="1:4">
      <c r="A153" s="1114" t="s">
        <v>201</v>
      </c>
      <c r="B153" s="1114" t="s">
        <v>69</v>
      </c>
      <c r="C153" s="853">
        <v>0.45</v>
      </c>
      <c r="D153" s="1119" t="s">
        <v>236</v>
      </c>
    </row>
    <row r="154" spans="1:4">
      <c r="A154" s="1114" t="s">
        <v>204</v>
      </c>
      <c r="B154" s="1114" t="s">
        <v>69</v>
      </c>
      <c r="C154" s="853">
        <v>0.45</v>
      </c>
      <c r="D154" s="1119" t="s">
        <v>236</v>
      </c>
    </row>
    <row r="155" spans="1:4">
      <c r="A155" s="1114" t="s">
        <v>206</v>
      </c>
      <c r="B155" s="1114" t="s">
        <v>69</v>
      </c>
      <c r="C155" s="853">
        <v>0.45</v>
      </c>
      <c r="D155" s="1119" t="s">
        <v>236</v>
      </c>
    </row>
    <row r="156" spans="1:4">
      <c r="A156" s="1114" t="s">
        <v>208</v>
      </c>
      <c r="B156" s="1114" t="s">
        <v>69</v>
      </c>
      <c r="C156" s="853">
        <v>0.45</v>
      </c>
      <c r="D156" s="1119" t="s">
        <v>236</v>
      </c>
    </row>
    <row r="157" spans="1:4">
      <c r="A157" s="1114" t="s">
        <v>291</v>
      </c>
      <c r="B157" s="1114" t="s">
        <v>234</v>
      </c>
      <c r="C157" s="853">
        <v>0.45</v>
      </c>
      <c r="D157" s="1119" t="s">
        <v>236</v>
      </c>
    </row>
    <row r="158" spans="1:4">
      <c r="A158" s="1114" t="s">
        <v>292</v>
      </c>
      <c r="B158" s="1114" t="s">
        <v>815</v>
      </c>
      <c r="C158" s="853">
        <v>0.55000000000000004</v>
      </c>
      <c r="D158" s="1117">
        <v>1</v>
      </c>
    </row>
    <row r="159" spans="1:4">
      <c r="A159" s="1114" t="s">
        <v>293</v>
      </c>
      <c r="B159" s="1114" t="s">
        <v>878</v>
      </c>
      <c r="C159" s="853">
        <v>0.65</v>
      </c>
      <c r="D159" s="1119" t="s">
        <v>236</v>
      </c>
    </row>
    <row r="160" spans="1:4">
      <c r="A160" s="1114" t="s">
        <v>294</v>
      </c>
      <c r="B160" s="1114" t="s">
        <v>69</v>
      </c>
      <c r="C160" s="853">
        <v>0.45</v>
      </c>
      <c r="D160" s="1119" t="s">
        <v>236</v>
      </c>
    </row>
    <row r="161" spans="1:4">
      <c r="A161" s="1114" t="s">
        <v>295</v>
      </c>
      <c r="B161" s="1114" t="s">
        <v>878</v>
      </c>
      <c r="C161" s="853">
        <v>0.65</v>
      </c>
      <c r="D161" s="1119" t="s">
        <v>236</v>
      </c>
    </row>
    <row r="162" spans="1:4">
      <c r="A162" s="1114" t="s">
        <v>215</v>
      </c>
      <c r="B162" s="1114" t="s">
        <v>69</v>
      </c>
      <c r="C162" s="853">
        <v>0.45</v>
      </c>
      <c r="D162" s="1119" t="s">
        <v>236</v>
      </c>
    </row>
    <row r="163" spans="1:4">
      <c r="A163" s="1114" t="s">
        <v>296</v>
      </c>
      <c r="B163" s="1114" t="s">
        <v>234</v>
      </c>
      <c r="C163" s="853">
        <v>0.45</v>
      </c>
      <c r="D163" s="1119" t="s">
        <v>236</v>
      </c>
    </row>
    <row r="164" spans="1:4">
      <c r="A164" s="1114" t="s">
        <v>297</v>
      </c>
      <c r="B164" s="1114" t="s">
        <v>815</v>
      </c>
      <c r="C164" s="853">
        <v>0.55000000000000004</v>
      </c>
      <c r="D164" s="1117">
        <v>1</v>
      </c>
    </row>
    <row r="165" spans="1:4">
      <c r="A165" s="1114" t="s">
        <v>298</v>
      </c>
      <c r="B165" s="1114" t="s">
        <v>878</v>
      </c>
      <c r="C165" s="853">
        <v>0.65</v>
      </c>
      <c r="D165" s="1119" t="s">
        <v>236</v>
      </c>
    </row>
    <row r="166" spans="1:4">
      <c r="A166" s="1114" t="s">
        <v>218</v>
      </c>
      <c r="B166" s="1114" t="s">
        <v>69</v>
      </c>
      <c r="C166" s="853">
        <v>0.45</v>
      </c>
      <c r="D166" s="1119" t="s">
        <v>236</v>
      </c>
    </row>
    <row r="167" spans="1:4">
      <c r="A167" s="1114" t="s">
        <v>299</v>
      </c>
      <c r="B167" s="1114" t="s">
        <v>69</v>
      </c>
      <c r="C167" s="853">
        <v>0.45</v>
      </c>
      <c r="D167" s="1119" t="s">
        <v>236</v>
      </c>
    </row>
    <row r="168" spans="1:4">
      <c r="A168" s="1114" t="s">
        <v>300</v>
      </c>
      <c r="B168" s="1114" t="s">
        <v>878</v>
      </c>
      <c r="C168" s="853">
        <v>0.65</v>
      </c>
      <c r="D168" s="1119" t="s">
        <v>236</v>
      </c>
    </row>
    <row r="169" spans="1:4">
      <c r="A169" s="1114" t="s">
        <v>223</v>
      </c>
      <c r="B169" s="1114" t="s">
        <v>69</v>
      </c>
      <c r="C169" s="853">
        <v>0.45</v>
      </c>
      <c r="D169" s="1119" t="s">
        <v>236</v>
      </c>
    </row>
    <row r="170" spans="1:4">
      <c r="A170" s="1114" t="s">
        <v>226</v>
      </c>
      <c r="B170" s="1114" t="s">
        <v>69</v>
      </c>
      <c r="C170" s="853">
        <v>0.45</v>
      </c>
      <c r="D170" s="1119" t="s">
        <v>236</v>
      </c>
    </row>
    <row r="171" spans="1:4">
      <c r="A171" s="1114" t="s">
        <v>229</v>
      </c>
      <c r="B171" s="1114" t="s">
        <v>69</v>
      </c>
      <c r="C171" s="853">
        <v>0.45</v>
      </c>
      <c r="D171" s="1119" t="s">
        <v>236</v>
      </c>
    </row>
    <row r="172" spans="1:4">
      <c r="A172" s="1114" t="s">
        <v>231</v>
      </c>
      <c r="B172" s="1114" t="s">
        <v>71</v>
      </c>
      <c r="C172" s="853">
        <v>0.45</v>
      </c>
      <c r="D172" s="1117">
        <v>1</v>
      </c>
    </row>
    <row r="173" spans="1:4">
      <c r="A173" s="1114" t="s">
        <v>162</v>
      </c>
      <c r="B173" s="1114" t="s">
        <v>71</v>
      </c>
      <c r="C173" s="853">
        <v>0.45</v>
      </c>
      <c r="D173" s="1117">
        <v>1</v>
      </c>
    </row>
    <row r="174" spans="1:4">
      <c r="A174" s="1114" t="s">
        <v>164</v>
      </c>
      <c r="B174" s="1114" t="s">
        <v>71</v>
      </c>
      <c r="C174" s="853">
        <v>0.45</v>
      </c>
      <c r="D174" s="1117">
        <v>1</v>
      </c>
    </row>
    <row r="175" spans="1:4">
      <c r="A175" s="1114" t="s">
        <v>301</v>
      </c>
      <c r="B175" s="1114" t="s">
        <v>879</v>
      </c>
      <c r="C175" s="853">
        <v>0.65</v>
      </c>
      <c r="D175" s="853">
        <v>1.35</v>
      </c>
    </row>
    <row r="176" spans="1:4">
      <c r="A176" s="1114" t="s">
        <v>302</v>
      </c>
      <c r="B176" s="1114" t="s">
        <v>3</v>
      </c>
      <c r="C176" s="853">
        <v>0.9</v>
      </c>
      <c r="D176" s="853">
        <v>1.4</v>
      </c>
    </row>
    <row r="177" spans="1:4">
      <c r="A177" s="1114" t="s">
        <v>303</v>
      </c>
      <c r="B177" s="1114" t="s">
        <v>815</v>
      </c>
      <c r="C177" s="853">
        <v>0.55000000000000004</v>
      </c>
      <c r="D177" s="1117">
        <v>1</v>
      </c>
    </row>
    <row r="178" spans="1:4">
      <c r="A178" s="1114" t="s">
        <v>304</v>
      </c>
      <c r="B178" s="1114" t="s">
        <v>878</v>
      </c>
      <c r="C178" s="853">
        <v>0.65</v>
      </c>
      <c r="D178" s="1119" t="s">
        <v>236</v>
      </c>
    </row>
    <row r="179" spans="1:4">
      <c r="A179" s="1114" t="s">
        <v>170</v>
      </c>
      <c r="B179" s="1114" t="s">
        <v>878</v>
      </c>
      <c r="C179" s="853">
        <v>0.65</v>
      </c>
      <c r="D179" s="1119" t="s">
        <v>236</v>
      </c>
    </row>
    <row r="180" spans="1:4">
      <c r="A180" s="1114" t="s">
        <v>172</v>
      </c>
      <c r="B180" s="1114" t="s">
        <v>71</v>
      </c>
      <c r="C180" s="853">
        <v>0.45</v>
      </c>
      <c r="D180" s="1117">
        <v>1</v>
      </c>
    </row>
    <row r="181" spans="1:4">
      <c r="A181" s="1114" t="s">
        <v>305</v>
      </c>
      <c r="B181" s="1114" t="s">
        <v>815</v>
      </c>
      <c r="C181" s="853">
        <v>0.55000000000000004</v>
      </c>
      <c r="D181" s="1117">
        <v>1</v>
      </c>
    </row>
    <row r="182" spans="1:4">
      <c r="A182" s="1114" t="s">
        <v>306</v>
      </c>
      <c r="B182" s="1114" t="s">
        <v>878</v>
      </c>
      <c r="C182" s="853">
        <v>0.65</v>
      </c>
      <c r="D182" s="1119" t="s">
        <v>236</v>
      </c>
    </row>
    <row r="183" spans="1:4">
      <c r="A183" s="1114" t="s">
        <v>307</v>
      </c>
      <c r="B183" s="1114" t="s">
        <v>71</v>
      </c>
      <c r="C183" s="853">
        <v>0.45</v>
      </c>
      <c r="D183" s="1117">
        <v>1</v>
      </c>
    </row>
    <row r="184" spans="1:4">
      <c r="A184" s="1114" t="s">
        <v>308</v>
      </c>
      <c r="B184" s="1114" t="s">
        <v>815</v>
      </c>
      <c r="C184" s="853">
        <v>0.55000000000000004</v>
      </c>
      <c r="D184" s="1117">
        <v>1</v>
      </c>
    </row>
    <row r="185" spans="1:4">
      <c r="A185" s="1114" t="s">
        <v>177</v>
      </c>
      <c r="B185" s="1114" t="s">
        <v>69</v>
      </c>
      <c r="C185" s="853">
        <v>0.45</v>
      </c>
      <c r="D185" s="1119" t="s">
        <v>236</v>
      </c>
    </row>
    <row r="186" spans="1:4">
      <c r="A186" s="1114" t="s">
        <v>309</v>
      </c>
      <c r="B186" s="1114" t="s">
        <v>879</v>
      </c>
      <c r="C186" s="853">
        <v>0.65</v>
      </c>
      <c r="D186" s="853">
        <v>1.35</v>
      </c>
    </row>
    <row r="187" spans="1:4">
      <c r="A187" s="1114" t="s">
        <v>310</v>
      </c>
      <c r="B187" s="1114" t="s">
        <v>349</v>
      </c>
      <c r="C187" s="853">
        <v>1.4</v>
      </c>
      <c r="D187" s="1119" t="s">
        <v>236</v>
      </c>
    </row>
    <row r="188" spans="1:4">
      <c r="A188" s="1114" t="s">
        <v>311</v>
      </c>
      <c r="B188" s="1114" t="s">
        <v>879</v>
      </c>
      <c r="C188" s="853">
        <v>0.65</v>
      </c>
      <c r="D188" s="853">
        <v>1.35</v>
      </c>
    </row>
    <row r="189" spans="1:4">
      <c r="A189" s="1114" t="s">
        <v>312</v>
      </c>
      <c r="B189" s="1114" t="s">
        <v>349</v>
      </c>
      <c r="C189" s="853">
        <v>1.4</v>
      </c>
      <c r="D189" s="1119" t="s">
        <v>236</v>
      </c>
    </row>
    <row r="190" spans="1:4">
      <c r="A190" s="1114" t="s">
        <v>182</v>
      </c>
      <c r="B190" s="1114" t="s">
        <v>69</v>
      </c>
      <c r="C190" s="853">
        <v>0.45</v>
      </c>
      <c r="D190" s="1119" t="s">
        <v>236</v>
      </c>
    </row>
    <row r="191" spans="1:4">
      <c r="A191" s="1114" t="s">
        <v>185</v>
      </c>
      <c r="B191" s="1114" t="s">
        <v>69</v>
      </c>
      <c r="C191" s="853">
        <v>0.45</v>
      </c>
      <c r="D191" s="1119" t="s">
        <v>236</v>
      </c>
    </row>
    <row r="192" spans="1:4">
      <c r="A192" s="1114" t="s">
        <v>188</v>
      </c>
      <c r="B192" s="1114" t="s">
        <v>69</v>
      </c>
      <c r="C192" s="853">
        <v>0.45</v>
      </c>
      <c r="D192" s="1119" t="s">
        <v>236</v>
      </c>
    </row>
    <row r="193" spans="1:4">
      <c r="A193" s="1114" t="s">
        <v>191</v>
      </c>
      <c r="B193" s="1114" t="s">
        <v>69</v>
      </c>
      <c r="C193" s="853">
        <v>0.45</v>
      </c>
      <c r="D193" s="1119" t="s">
        <v>236</v>
      </c>
    </row>
    <row r="194" spans="1:4">
      <c r="A194" s="1114" t="s">
        <v>194</v>
      </c>
      <c r="B194" s="1114" t="s">
        <v>69</v>
      </c>
      <c r="C194" s="853">
        <v>0.45</v>
      </c>
      <c r="D194" s="1119" t="s">
        <v>236</v>
      </c>
    </row>
    <row r="195" spans="1:4">
      <c r="A195" s="1114" t="s">
        <v>197</v>
      </c>
      <c r="B195" s="1114" t="s">
        <v>69</v>
      </c>
      <c r="C195" s="853">
        <v>0.45</v>
      </c>
      <c r="D195" s="1119" t="s">
        <v>236</v>
      </c>
    </row>
    <row r="196" spans="1:4">
      <c r="A196" s="1114" t="s">
        <v>313</v>
      </c>
      <c r="B196" s="1114" t="s">
        <v>71</v>
      </c>
      <c r="C196" s="853">
        <v>0.45</v>
      </c>
      <c r="D196" s="1117">
        <v>1</v>
      </c>
    </row>
    <row r="197" spans="1:4">
      <c r="A197" s="1114" t="s">
        <v>314</v>
      </c>
      <c r="B197" s="1114" t="s">
        <v>879</v>
      </c>
      <c r="C197" s="853">
        <v>0.65</v>
      </c>
      <c r="D197" s="853">
        <v>1.35</v>
      </c>
    </row>
    <row r="198" spans="1:4">
      <c r="A198" s="1114" t="s">
        <v>202</v>
      </c>
      <c r="B198" s="1114" t="s">
        <v>71</v>
      </c>
      <c r="C198" s="853">
        <v>0.45</v>
      </c>
      <c r="D198" s="1117">
        <v>1</v>
      </c>
    </row>
    <row r="199" spans="1:4">
      <c r="A199" s="1114" t="s">
        <v>315</v>
      </c>
      <c r="B199" s="1114" t="s">
        <v>71</v>
      </c>
      <c r="C199" s="853">
        <v>0.45</v>
      </c>
      <c r="D199" s="1117">
        <v>1</v>
      </c>
    </row>
    <row r="200" spans="1:4">
      <c r="A200" s="1114" t="s">
        <v>316</v>
      </c>
      <c r="B200" s="1114" t="s">
        <v>879</v>
      </c>
      <c r="C200" s="853">
        <v>0.65</v>
      </c>
      <c r="D200" s="853">
        <v>1.35</v>
      </c>
    </row>
    <row r="201" spans="1:4">
      <c r="A201" s="1114" t="s">
        <v>317</v>
      </c>
      <c r="B201" s="1114" t="s">
        <v>816</v>
      </c>
      <c r="C201" s="853">
        <v>0.55000000000000004</v>
      </c>
      <c r="D201" s="853">
        <v>1.35</v>
      </c>
    </row>
    <row r="202" spans="1:4">
      <c r="A202" s="1114" t="s">
        <v>318</v>
      </c>
      <c r="B202" s="1114" t="s">
        <v>879</v>
      </c>
      <c r="C202" s="853">
        <v>0.65</v>
      </c>
      <c r="D202" s="853">
        <v>1.35</v>
      </c>
    </row>
    <row r="203" spans="1:4">
      <c r="A203" s="1114" t="s">
        <v>209</v>
      </c>
      <c r="B203" s="1114" t="s">
        <v>69</v>
      </c>
      <c r="C203" s="853">
        <v>0.45</v>
      </c>
      <c r="D203" s="1119" t="s">
        <v>236</v>
      </c>
    </row>
    <row r="204" spans="1:4">
      <c r="A204" s="1114" t="s">
        <v>211</v>
      </c>
      <c r="B204" s="1114" t="s">
        <v>69</v>
      </c>
      <c r="C204" s="853">
        <v>0.45</v>
      </c>
      <c r="D204" s="1119" t="s">
        <v>236</v>
      </c>
    </row>
    <row r="205" spans="1:4">
      <c r="A205" s="1114" t="s">
        <v>213</v>
      </c>
      <c r="B205" s="1114" t="s">
        <v>71</v>
      </c>
      <c r="C205" s="853">
        <v>0.45</v>
      </c>
      <c r="D205" s="1117">
        <v>1</v>
      </c>
    </row>
    <row r="206" spans="1:4">
      <c r="A206" s="1114" t="s">
        <v>319</v>
      </c>
      <c r="B206" s="1114" t="s">
        <v>234</v>
      </c>
      <c r="C206" s="853">
        <v>0.45</v>
      </c>
      <c r="D206" s="1119" t="s">
        <v>236</v>
      </c>
    </row>
    <row r="207" spans="1:4">
      <c r="A207" s="1114" t="s">
        <v>320</v>
      </c>
      <c r="B207" s="1114" t="s">
        <v>815</v>
      </c>
      <c r="C207" s="853">
        <v>0.55000000000000004</v>
      </c>
      <c r="D207" s="1117">
        <v>1</v>
      </c>
    </row>
    <row r="208" spans="1:4">
      <c r="A208" s="1114" t="s">
        <v>321</v>
      </c>
      <c r="B208" s="1114" t="s">
        <v>878</v>
      </c>
      <c r="C208" s="853">
        <v>0.65</v>
      </c>
      <c r="D208" s="1119" t="s">
        <v>236</v>
      </c>
    </row>
    <row r="209" spans="1:4">
      <c r="A209" s="1114" t="s">
        <v>216</v>
      </c>
      <c r="B209" s="1114" t="s">
        <v>69</v>
      </c>
      <c r="C209" s="853">
        <v>0.45</v>
      </c>
      <c r="D209" s="1119" t="s">
        <v>236</v>
      </c>
    </row>
    <row r="210" spans="1:4">
      <c r="A210" s="1114" t="s">
        <v>219</v>
      </c>
      <c r="B210" s="1114" t="s">
        <v>879</v>
      </c>
      <c r="C210" s="853">
        <v>0.65</v>
      </c>
      <c r="D210" s="853">
        <v>1.35</v>
      </c>
    </row>
    <row r="211" spans="1:4">
      <c r="A211" s="1114" t="s">
        <v>221</v>
      </c>
      <c r="B211" s="1114" t="s">
        <v>69</v>
      </c>
      <c r="C211" s="853">
        <v>0.45</v>
      </c>
      <c r="D211" s="1119" t="s">
        <v>236</v>
      </c>
    </row>
    <row r="212" spans="1:4">
      <c r="A212" s="1114" t="s">
        <v>224</v>
      </c>
      <c r="B212" s="1114" t="s">
        <v>69</v>
      </c>
      <c r="C212" s="853">
        <v>0.45</v>
      </c>
      <c r="D212" s="1119" t="s">
        <v>236</v>
      </c>
    </row>
    <row r="213" spans="1:4">
      <c r="A213" s="1114" t="s">
        <v>227</v>
      </c>
      <c r="B213" s="1114" t="s">
        <v>69</v>
      </c>
      <c r="C213" s="853">
        <v>0.45</v>
      </c>
      <c r="D213" s="1119" t="s">
        <v>236</v>
      </c>
    </row>
    <row r="214" spans="1:4">
      <c r="A214" s="1114" t="s">
        <v>230</v>
      </c>
      <c r="B214" s="1114" t="s">
        <v>69</v>
      </c>
      <c r="C214" s="853">
        <v>0.45</v>
      </c>
      <c r="D214" s="1119" t="s">
        <v>236</v>
      </c>
    </row>
    <row r="215" spans="1:4">
      <c r="A215" s="1114" t="s">
        <v>232</v>
      </c>
      <c r="B215" s="1114" t="s">
        <v>69</v>
      </c>
      <c r="C215" s="853">
        <v>0.45</v>
      </c>
      <c r="D215" s="1119" t="s">
        <v>236</v>
      </c>
    </row>
    <row r="216" spans="1:4">
      <c r="C216" s="853"/>
    </row>
    <row r="217" spans="1:4">
      <c r="A217" s="1126" t="s">
        <v>242</v>
      </c>
      <c r="B217" s="853">
        <f>IF($D$12&lt;200,0,(($D$12*0.1)-20)/100)</f>
        <v>0</v>
      </c>
      <c r="C217" s="853">
        <f>IF($D$12&lt;200,0,(($D$12*0.15)-30)/100)</f>
        <v>0</v>
      </c>
      <c r="D217" s="853">
        <f>IF(D12&lt;500,1,IF(D12&gt;999,3,2))</f>
        <v>1</v>
      </c>
    </row>
    <row r="218" spans="1:4">
      <c r="A218" s="1126" t="s">
        <v>244</v>
      </c>
      <c r="B218" s="853">
        <f>IF($D$12&lt;200,0,((($D$12*0.15)-75)/100)+0.3)</f>
        <v>-0.15000000000000002</v>
      </c>
      <c r="C218" s="853">
        <f>IF($D$12&lt;200,0,((($D$12*0.35)-175)/100)+0.45)</f>
        <v>-0.60000000000000009</v>
      </c>
    </row>
    <row r="219" spans="1:4">
      <c r="A219" s="1126" t="s">
        <v>245</v>
      </c>
      <c r="B219" s="853">
        <f>IF($D$12&lt;200,0,((($D$12*0.35)-350)/100)+1.05)</f>
        <v>-1.7499999999999998</v>
      </c>
      <c r="C219" s="853">
        <f>IF($D$12&lt;200,0,((($D$12*0.7)-700)/100)+2.2)</f>
        <v>-3.3999999999999995</v>
      </c>
    </row>
    <row r="220" spans="1:4">
      <c r="C220" s="853"/>
    </row>
    <row r="221" spans="1:4">
      <c r="C221" s="853"/>
    </row>
    <row r="222" spans="1:4">
      <c r="C222" s="853"/>
    </row>
    <row r="223" spans="1:4">
      <c r="C223" s="853"/>
    </row>
    <row r="224" spans="1:4">
      <c r="C224" s="853"/>
    </row>
    <row r="225" spans="3:3">
      <c r="C225" s="853"/>
    </row>
    <row r="226" spans="3:3">
      <c r="C226" s="853"/>
    </row>
    <row r="227" spans="3:3">
      <c r="C227" s="853"/>
    </row>
    <row r="228" spans="3:3">
      <c r="C228" s="853"/>
    </row>
    <row r="229" spans="3:3">
      <c r="C229" s="853"/>
    </row>
    <row r="230" spans="3:3">
      <c r="C230" s="853"/>
    </row>
    <row r="231" spans="3:3">
      <c r="C231" s="853"/>
    </row>
    <row r="232" spans="3:3">
      <c r="C232" s="853"/>
    </row>
    <row r="233" spans="3:3">
      <c r="C233" s="853"/>
    </row>
    <row r="234" spans="3:3">
      <c r="C234" s="853"/>
    </row>
    <row r="235" spans="3:3">
      <c r="C235" s="853"/>
    </row>
    <row r="236" spans="3:3">
      <c r="C236" s="853"/>
    </row>
    <row r="237" spans="3:3">
      <c r="C237" s="853"/>
    </row>
    <row r="238" spans="3:3">
      <c r="C238" s="853"/>
    </row>
    <row r="239" spans="3:3">
      <c r="C239" s="853"/>
    </row>
    <row r="240" spans="3:3">
      <c r="C240" s="853"/>
    </row>
    <row r="241" spans="3:3">
      <c r="C241" s="853"/>
    </row>
    <row r="242" spans="3:3">
      <c r="C242" s="853"/>
    </row>
    <row r="243" spans="3:3">
      <c r="C243" s="853"/>
    </row>
    <row r="244" spans="3:3">
      <c r="C244" s="853"/>
    </row>
    <row r="245" spans="3:3">
      <c r="C245" s="853"/>
    </row>
    <row r="246" spans="3:3">
      <c r="C246" s="853"/>
    </row>
    <row r="247" spans="3:3">
      <c r="C247" s="853"/>
    </row>
    <row r="248" spans="3:3">
      <c r="C248" s="853"/>
    </row>
    <row r="249" spans="3:3">
      <c r="C249" s="853"/>
    </row>
    <row r="250" spans="3:3">
      <c r="C250" s="853"/>
    </row>
    <row r="251" spans="3:3">
      <c r="C251" s="853"/>
    </row>
    <row r="252" spans="3:3">
      <c r="C252" s="853"/>
    </row>
    <row r="253" spans="3:3">
      <c r="C253" s="853"/>
    </row>
    <row r="254" spans="3:3">
      <c r="C254" s="853"/>
    </row>
    <row r="255" spans="3:3">
      <c r="C255" s="853"/>
    </row>
    <row r="256" spans="3:3">
      <c r="C256" s="853"/>
    </row>
    <row r="257" spans="3:3">
      <c r="C257" s="853"/>
    </row>
    <row r="258" spans="3:3">
      <c r="C258" s="853"/>
    </row>
  </sheetData>
  <mergeCells count="8">
    <mergeCell ref="A1:E1"/>
    <mergeCell ref="A6:D6"/>
    <mergeCell ref="A14:C14"/>
    <mergeCell ref="C3:D3"/>
    <mergeCell ref="D5:E5"/>
    <mergeCell ref="B8:C8"/>
    <mergeCell ref="A13:C13"/>
    <mergeCell ref="B9:C9"/>
  </mergeCells>
  <phoneticPr fontId="2" type="noConversion"/>
  <hyperlinks>
    <hyperlink ref="D5" location="'M4'!A1" display="MENU CHARGEMENTS"/>
  </hyperlinks>
  <pageMargins left="0.44" right="0.3" top="0.42" bottom="0.45" header="0.28999999999999998" footer="0.3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2159" r:id="rId4" name="Drop Down 479">
              <controlPr defaultSize="0" autoLine="0" autoPict="0">
                <anchor moveWithCells="1">
                  <from>
                    <xdr:col>0</xdr:col>
                    <xdr:colOff>0</xdr:colOff>
                    <xdr:row>6</xdr:row>
                    <xdr:rowOff>0</xdr:rowOff>
                  </from>
                  <to>
                    <xdr:col>0</xdr:col>
                    <xdr:colOff>2242868</xdr:colOff>
                    <xdr:row>7</xdr:row>
                    <xdr:rowOff>0</xdr:rowOff>
                  </to>
                </anchor>
              </controlPr>
            </control>
          </mc:Choice>
        </mc:AlternateContent>
        <mc:AlternateContent xmlns:mc="http://schemas.openxmlformats.org/markup-compatibility/2006">
          <mc:Choice Requires="x14">
            <control shapeId="72162" r:id="rId5" name="Scroll Bar 482">
              <controlPr defaultSize="0" autoPict="0">
                <anchor moveWithCells="1">
                  <from>
                    <xdr:col>0</xdr:col>
                    <xdr:colOff>0</xdr:colOff>
                    <xdr:row>11</xdr:row>
                    <xdr:rowOff>0</xdr:rowOff>
                  </from>
                  <to>
                    <xdr:col>0</xdr:col>
                    <xdr:colOff>2242868</xdr:colOff>
                    <xdr:row>12</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3"/>
  <sheetViews>
    <sheetView zoomScale="70" workbookViewId="0">
      <selection activeCell="J1" sqref="J1:K1"/>
    </sheetView>
  </sheetViews>
  <sheetFormatPr baseColWidth="10" defaultRowHeight="12.9"/>
  <cols>
    <col min="1" max="1" width="13" customWidth="1"/>
    <col min="2" max="2" width="10.125" customWidth="1"/>
    <col min="3" max="3" width="10.625" customWidth="1"/>
    <col min="4" max="4" width="10.875" customWidth="1"/>
    <col min="5" max="8" width="13.75" customWidth="1"/>
    <col min="9" max="9" width="4.625" customWidth="1"/>
    <col min="11" max="11" width="17.375" customWidth="1"/>
    <col min="18" max="18" width="10.875" customWidth="1"/>
    <col min="19" max="23" width="5.75" customWidth="1"/>
  </cols>
  <sheetData>
    <row r="1" spans="1:11" ht="30.1" customHeight="1">
      <c r="A1" s="915" t="s">
        <v>823</v>
      </c>
      <c r="B1" s="1387"/>
      <c r="C1" s="1313"/>
      <c r="D1" s="1388"/>
      <c r="G1" s="858" t="s">
        <v>824</v>
      </c>
      <c r="H1" s="859">
        <v>38961</v>
      </c>
      <c r="J1" s="1389" t="s">
        <v>8</v>
      </c>
      <c r="K1" s="1390"/>
    </row>
    <row r="3" spans="1:11" ht="20.25" customHeight="1">
      <c r="A3" s="860" t="s">
        <v>852</v>
      </c>
      <c r="B3" s="475">
        <v>60</v>
      </c>
      <c r="C3" t="s">
        <v>825</v>
      </c>
      <c r="G3" s="3"/>
      <c r="H3" s="104" t="s">
        <v>1084</v>
      </c>
    </row>
    <row r="4" spans="1:11" ht="15.65">
      <c r="A4" s="861" t="s">
        <v>826</v>
      </c>
      <c r="B4" s="475">
        <v>1</v>
      </c>
      <c r="G4" s="862"/>
      <c r="H4" s="104" t="s">
        <v>1085</v>
      </c>
    </row>
    <row r="5" spans="1:11" ht="15.65">
      <c r="A5" s="861" t="s">
        <v>827</v>
      </c>
      <c r="B5" s="475">
        <v>1</v>
      </c>
    </row>
    <row r="6" spans="1:11" ht="15.65">
      <c r="A6" s="861" t="s">
        <v>1094</v>
      </c>
      <c r="B6" s="475">
        <v>1.05</v>
      </c>
    </row>
    <row r="7" spans="1:11" ht="9.6999999999999993" customHeight="1">
      <c r="B7" s="863"/>
    </row>
    <row r="8" spans="1:11" ht="15.65">
      <c r="A8" s="864" t="s">
        <v>978</v>
      </c>
      <c r="B8" s="865">
        <v>4.2</v>
      </c>
      <c r="C8" s="2" t="s">
        <v>1126</v>
      </c>
    </row>
    <row r="9" spans="1:11" ht="15.65">
      <c r="A9" s="864" t="s">
        <v>951</v>
      </c>
      <c r="B9" s="865">
        <v>8.59</v>
      </c>
      <c r="C9" s="2" t="s">
        <v>1126</v>
      </c>
    </row>
    <row r="10" spans="1:11" ht="16.3" thickBot="1">
      <c r="A10" s="864" t="s">
        <v>961</v>
      </c>
      <c r="B10" s="865">
        <v>12.7</v>
      </c>
      <c r="C10" s="2" t="s">
        <v>1126</v>
      </c>
    </row>
    <row r="11" spans="1:11" ht="17.350000000000001" customHeight="1">
      <c r="A11" s="866" t="s">
        <v>853</v>
      </c>
      <c r="B11" s="867">
        <f>IF(B8="","",B8/B9)</f>
        <v>0.48894062863795112</v>
      </c>
      <c r="D11" s="1391" t="s">
        <v>828</v>
      </c>
      <c r="E11" s="1392"/>
      <c r="F11" s="1391" t="s">
        <v>829</v>
      </c>
      <c r="G11" s="1392"/>
    </row>
    <row r="12" spans="1:11" ht="17.350000000000001" customHeight="1">
      <c r="A12" s="866" t="s">
        <v>854</v>
      </c>
      <c r="B12" s="867">
        <f>IF(B8="","",B8/B10)</f>
        <v>0.33070866141732286</v>
      </c>
      <c r="D12" s="868" t="s">
        <v>830</v>
      </c>
      <c r="E12" s="869">
        <f>IF(B13="","",0.6*(1.8-(1.3*B13)))</f>
        <v>0.3</v>
      </c>
      <c r="F12" s="868" t="s">
        <v>830</v>
      </c>
      <c r="G12" s="869">
        <f>IF(B14="","",0.6*(1.8-(1.3*B14)))</f>
        <v>0.3</v>
      </c>
      <c r="I12" s="870"/>
    </row>
    <row r="13" spans="1:11" ht="17.350000000000001" customHeight="1" thickBot="1">
      <c r="A13" s="871" t="s">
        <v>855</v>
      </c>
      <c r="B13" s="475">
        <v>1</v>
      </c>
      <c r="D13" s="872" t="s">
        <v>831</v>
      </c>
      <c r="E13" s="873">
        <f>IF(B13="","",-0.6*((1.3*B13)-0.8))</f>
        <v>-0.3</v>
      </c>
      <c r="F13" s="872" t="s">
        <v>831</v>
      </c>
      <c r="G13" s="873">
        <f>IF(B14="","",-0.6*((1.3*B14)-0.8))</f>
        <v>-0.3</v>
      </c>
    </row>
    <row r="14" spans="1:11" ht="17.350000000000001" customHeight="1">
      <c r="A14" s="871" t="s">
        <v>856</v>
      </c>
      <c r="B14" s="475">
        <v>1</v>
      </c>
    </row>
    <row r="16" spans="1:11" ht="15.65">
      <c r="A16" s="874" t="s">
        <v>832</v>
      </c>
      <c r="B16" s="875">
        <v>20</v>
      </c>
    </row>
    <row r="26" spans="1:8" ht="25.5" customHeight="1" thickBot="1"/>
    <row r="27" spans="1:8" ht="14.3" thickBot="1">
      <c r="A27" s="1384" t="s">
        <v>833</v>
      </c>
      <c r="B27" s="1385"/>
      <c r="C27" s="1385"/>
      <c r="D27" s="1386"/>
      <c r="E27" s="876" t="s">
        <v>857</v>
      </c>
      <c r="F27" s="74"/>
      <c r="G27" s="73" t="s">
        <v>858</v>
      </c>
      <c r="H27" s="74"/>
    </row>
    <row r="28" spans="1:8" ht="22.6" customHeight="1">
      <c r="A28" s="877" t="s">
        <v>834</v>
      </c>
      <c r="B28" s="877" t="s">
        <v>835</v>
      </c>
      <c r="C28" s="877" t="s">
        <v>836</v>
      </c>
      <c r="D28" s="877" t="s">
        <v>837</v>
      </c>
      <c r="E28" s="874" t="s">
        <v>859</v>
      </c>
      <c r="F28" s="874" t="s">
        <v>860</v>
      </c>
      <c r="G28" s="874" t="s">
        <v>859</v>
      </c>
      <c r="H28" s="874" t="s">
        <v>860</v>
      </c>
    </row>
    <row r="29" spans="1:8" ht="17.350000000000001" customHeight="1">
      <c r="A29" s="878">
        <v>1</v>
      </c>
      <c r="B29" s="879">
        <v>0.8</v>
      </c>
      <c r="C29" s="880">
        <f>IF(B29="","",B29-$E$12)</f>
        <v>0.5</v>
      </c>
      <c r="D29" s="880">
        <f>IF(B29="","",B29-$E$13)</f>
        <v>1.1000000000000001</v>
      </c>
      <c r="E29" s="881">
        <f t="shared" ref="E29:F33" si="0">IF(C29="","",$B$3*$B$4*$B$5*$B$6*C29*1.2)</f>
        <v>37.799999999999997</v>
      </c>
      <c r="F29" s="881">
        <f t="shared" si="0"/>
        <v>83.160000000000011</v>
      </c>
      <c r="G29" s="881">
        <f t="shared" ref="G29:H33" si="1">IF(E29="","",E29*$C$35*$F$35)</f>
        <v>22.679999999999996</v>
      </c>
      <c r="H29" s="881">
        <f t="shared" si="1"/>
        <v>49.896000000000008</v>
      </c>
    </row>
    <row r="30" spans="1:8" ht="17.350000000000001" customHeight="1">
      <c r="A30" s="878">
        <v>2</v>
      </c>
      <c r="B30" s="879">
        <v>-0.5</v>
      </c>
      <c r="C30" s="880">
        <f>IF(B30="","",B30-$E$12)</f>
        <v>-0.8</v>
      </c>
      <c r="D30" s="880">
        <f>IF(B30="","",B30-$E$13)</f>
        <v>-0.2</v>
      </c>
      <c r="E30" s="881">
        <f t="shared" si="0"/>
        <v>-60.480000000000004</v>
      </c>
      <c r="F30" s="881">
        <f t="shared" si="0"/>
        <v>-15.120000000000001</v>
      </c>
      <c r="G30" s="881">
        <f t="shared" si="1"/>
        <v>-36.288000000000004</v>
      </c>
      <c r="H30" s="881">
        <f t="shared" si="1"/>
        <v>-9.072000000000001</v>
      </c>
    </row>
    <row r="31" spans="1:8" ht="17.350000000000001" customHeight="1">
      <c r="A31" s="878">
        <v>3</v>
      </c>
      <c r="B31" s="879">
        <v>-0.25</v>
      </c>
      <c r="C31" s="880">
        <f>IF(B31="","",B31-$E$12)</f>
        <v>-0.55000000000000004</v>
      </c>
      <c r="D31" s="880">
        <f>IF(B31="","",B31-$E$13)</f>
        <v>4.9999999999999989E-2</v>
      </c>
      <c r="E31" s="881">
        <f t="shared" si="0"/>
        <v>-41.580000000000005</v>
      </c>
      <c r="F31" s="881">
        <f t="shared" si="0"/>
        <v>3.7799999999999994</v>
      </c>
      <c r="G31" s="881">
        <f t="shared" si="1"/>
        <v>-24.948000000000004</v>
      </c>
      <c r="H31" s="881">
        <f t="shared" si="1"/>
        <v>2.2679999999999993</v>
      </c>
    </row>
    <row r="32" spans="1:8" ht="17.350000000000001" customHeight="1">
      <c r="A32" s="878">
        <v>4</v>
      </c>
      <c r="B32" s="879">
        <v>-0.5</v>
      </c>
      <c r="C32" s="880">
        <f>IF(B32="","",B32-$E$12)</f>
        <v>-0.8</v>
      </c>
      <c r="D32" s="880">
        <f>IF(B32="","",B32-$E$13)</f>
        <v>-0.2</v>
      </c>
      <c r="E32" s="881">
        <f t="shared" si="0"/>
        <v>-60.480000000000004</v>
      </c>
      <c r="F32" s="881">
        <f t="shared" si="0"/>
        <v>-15.120000000000001</v>
      </c>
      <c r="G32" s="881">
        <f t="shared" si="1"/>
        <v>-36.288000000000004</v>
      </c>
      <c r="H32" s="881">
        <f t="shared" si="1"/>
        <v>-9.072000000000001</v>
      </c>
    </row>
    <row r="33" spans="1:24" ht="17.350000000000001" customHeight="1">
      <c r="A33" s="882" t="s">
        <v>838</v>
      </c>
      <c r="B33" s="879">
        <v>-0.47</v>
      </c>
      <c r="C33" s="880">
        <f>IF(B33="","",B33-$E$12)</f>
        <v>-0.77</v>
      </c>
      <c r="D33" s="880">
        <f>IF(B33="","",B33-$E$13)</f>
        <v>-0.16999999999999998</v>
      </c>
      <c r="E33" s="881">
        <f t="shared" si="0"/>
        <v>-58.211999999999996</v>
      </c>
      <c r="F33" s="881">
        <f t="shared" si="0"/>
        <v>-12.851999999999999</v>
      </c>
      <c r="G33" s="881">
        <f t="shared" si="1"/>
        <v>-34.927199999999999</v>
      </c>
      <c r="H33" s="881">
        <f t="shared" si="1"/>
        <v>-7.7111999999999989</v>
      </c>
    </row>
    <row r="35" spans="1:24" ht="13.6">
      <c r="A35" s="883" t="s">
        <v>839</v>
      </c>
      <c r="B35" s="884" t="s">
        <v>840</v>
      </c>
      <c r="C35" s="879">
        <v>1</v>
      </c>
      <c r="E35" s="76" t="s">
        <v>841</v>
      </c>
      <c r="F35" s="879">
        <v>0.6</v>
      </c>
      <c r="G35" t="s">
        <v>1126</v>
      </c>
    </row>
    <row r="36" spans="1:24" ht="22.6" customHeight="1" thickBot="1">
      <c r="A36" s="885"/>
      <c r="B36" s="886"/>
      <c r="C36" s="287"/>
    </row>
    <row r="37" spans="1:24" ht="14.3" thickBot="1">
      <c r="A37" s="1384" t="s">
        <v>842</v>
      </c>
      <c r="B37" s="1385"/>
      <c r="C37" s="1385"/>
      <c r="D37" s="1386"/>
      <c r="E37" s="876" t="s">
        <v>857</v>
      </c>
      <c r="F37" s="74"/>
      <c r="G37" s="73" t="s">
        <v>858</v>
      </c>
      <c r="H37" s="74"/>
      <c r="R37" s="710" t="s">
        <v>597</v>
      </c>
      <c r="S37" s="654" t="s">
        <v>843</v>
      </c>
      <c r="T37" s="654" t="s">
        <v>844</v>
      </c>
      <c r="U37" s="654" t="s">
        <v>845</v>
      </c>
      <c r="V37" s="654" t="s">
        <v>846</v>
      </c>
      <c r="W37" s="654" t="s">
        <v>847</v>
      </c>
      <c r="X37" s="1"/>
    </row>
    <row r="38" spans="1:24" ht="15.65">
      <c r="A38" s="874" t="s">
        <v>834</v>
      </c>
      <c r="B38" s="874" t="s">
        <v>835</v>
      </c>
      <c r="C38" s="874" t="s">
        <v>836</v>
      </c>
      <c r="D38" s="874" t="s">
        <v>837</v>
      </c>
      <c r="E38" s="874" t="s">
        <v>859</v>
      </c>
      <c r="F38" s="874" t="s">
        <v>860</v>
      </c>
      <c r="G38" s="874" t="s">
        <v>859</v>
      </c>
      <c r="H38" s="874" t="s">
        <v>860</v>
      </c>
      <c r="R38" s="104" t="s">
        <v>848</v>
      </c>
      <c r="S38" s="887">
        <v>0.8</v>
      </c>
      <c r="T38" s="887">
        <v>0.8</v>
      </c>
      <c r="U38" s="887">
        <v>0.8</v>
      </c>
      <c r="V38" s="887">
        <v>0.8</v>
      </c>
      <c r="W38" s="887">
        <v>1</v>
      </c>
    </row>
    <row r="39" spans="1:24" ht="18" customHeight="1">
      <c r="A39" s="878">
        <v>5</v>
      </c>
      <c r="B39" s="879">
        <v>0.8</v>
      </c>
      <c r="C39" s="880">
        <f>IF(B39="","",B39-$G$12)</f>
        <v>0.5</v>
      </c>
      <c r="D39" s="880">
        <f>IF(B39="","",B39-$G$13)</f>
        <v>1.1000000000000001</v>
      </c>
      <c r="E39" s="881">
        <f t="shared" ref="E39:F41" si="2">IF(C39="","",$B$3*$B$4*$B$5*$B$6*C39*1.2)</f>
        <v>37.799999999999997</v>
      </c>
      <c r="F39" s="881">
        <f t="shared" si="2"/>
        <v>83.160000000000011</v>
      </c>
      <c r="G39" s="881">
        <f t="shared" ref="G39:H41" si="3">IF(E39="","",E39*$C$43*$F$43)</f>
        <v>37.799999999999997</v>
      </c>
      <c r="H39" s="881">
        <f t="shared" si="3"/>
        <v>83.160000000000011</v>
      </c>
      <c r="R39" s="104" t="s">
        <v>849</v>
      </c>
      <c r="S39" s="887">
        <v>1</v>
      </c>
      <c r="T39" s="887">
        <v>1</v>
      </c>
      <c r="U39" s="887">
        <v>1</v>
      </c>
      <c r="V39" s="887">
        <v>1</v>
      </c>
      <c r="W39" s="887">
        <v>1</v>
      </c>
    </row>
    <row r="40" spans="1:24" ht="18" customHeight="1">
      <c r="A40" s="878">
        <v>6</v>
      </c>
      <c r="B40" s="879">
        <v>-0.3</v>
      </c>
      <c r="C40" s="880">
        <f>IF(B40="","",B40-$G$12)</f>
        <v>-0.6</v>
      </c>
      <c r="D40" s="880">
        <f>IF(B40="","",B40-$G$13)</f>
        <v>0</v>
      </c>
      <c r="E40" s="881">
        <f t="shared" si="2"/>
        <v>-45.359999999999992</v>
      </c>
      <c r="F40" s="881">
        <f t="shared" si="2"/>
        <v>0</v>
      </c>
      <c r="G40" s="881">
        <f t="shared" si="3"/>
        <v>-45.359999999999992</v>
      </c>
      <c r="H40" s="881">
        <f t="shared" si="3"/>
        <v>0</v>
      </c>
      <c r="J40" s="381"/>
      <c r="R40" s="104" t="s">
        <v>850</v>
      </c>
      <c r="S40" s="887">
        <v>1.35</v>
      </c>
      <c r="T40" s="887">
        <v>1.3</v>
      </c>
      <c r="U40" s="887">
        <v>1.25</v>
      </c>
      <c r="V40" s="887">
        <v>1.2</v>
      </c>
      <c r="W40" s="887">
        <v>1.2</v>
      </c>
    </row>
    <row r="41" spans="1:24" ht="18" customHeight="1">
      <c r="A41" s="882" t="s">
        <v>851</v>
      </c>
      <c r="B41" s="879">
        <v>-0.27</v>
      </c>
      <c r="C41" s="880">
        <f>IF(B41="","",B41-$G$12)</f>
        <v>-0.57000000000000006</v>
      </c>
      <c r="D41" s="880">
        <f>IF(B41="","",B41-$G$13)</f>
        <v>2.9999999999999971E-2</v>
      </c>
      <c r="E41" s="881">
        <f t="shared" si="2"/>
        <v>-43.092000000000006</v>
      </c>
      <c r="F41" s="881">
        <f t="shared" si="2"/>
        <v>2.2679999999999976</v>
      </c>
      <c r="G41" s="881">
        <f t="shared" si="3"/>
        <v>-43.092000000000006</v>
      </c>
      <c r="H41" s="881">
        <f t="shared" si="3"/>
        <v>2.2679999999999976</v>
      </c>
    </row>
    <row r="43" spans="1:24" ht="15.65">
      <c r="A43" s="888" t="s">
        <v>839</v>
      </c>
      <c r="B43" s="884" t="s">
        <v>840</v>
      </c>
      <c r="C43" s="879">
        <v>1</v>
      </c>
      <c r="E43" s="76" t="s">
        <v>841</v>
      </c>
      <c r="F43" s="879">
        <v>1</v>
      </c>
      <c r="G43" t="s">
        <v>1126</v>
      </c>
    </row>
  </sheetData>
  <mergeCells count="6">
    <mergeCell ref="A27:D27"/>
    <mergeCell ref="A37:D37"/>
    <mergeCell ref="B1:D1"/>
    <mergeCell ref="J1:K1"/>
    <mergeCell ref="D11:E11"/>
    <mergeCell ref="F11:G11"/>
  </mergeCells>
  <phoneticPr fontId="2" type="noConversion"/>
  <hyperlinks>
    <hyperlink ref="J1" location="MENU!A1" display="RETOUR MENU"/>
    <hyperlink ref="J1:K1" location="'M4'!A1" display="RETOUR MENU PRINCIPAL"/>
  </hyperlinks>
  <pageMargins left="0.26" right="0.2" top="0.53" bottom="0.35" header="0.21" footer="0.2"/>
  <pageSetup paperSize="9" orientation="portrait" horizontalDpi="4294967293"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56"/>
  <sheetViews>
    <sheetView workbookViewId="0">
      <selection activeCell="P2" sqref="P2:R2"/>
    </sheetView>
  </sheetViews>
  <sheetFormatPr baseColWidth="10" defaultRowHeight="12.9"/>
  <cols>
    <col min="1" max="1" width="8.75" customWidth="1"/>
    <col min="2" max="2" width="7" customWidth="1"/>
    <col min="3" max="3" width="4.875" customWidth="1"/>
    <col min="4" max="4" width="6.875" customWidth="1"/>
    <col min="5" max="5" width="6.75" customWidth="1"/>
    <col min="6" max="6" width="3.75" customWidth="1"/>
    <col min="7" max="8" width="6.75" customWidth="1"/>
    <col min="9" max="9" width="3.75" customWidth="1"/>
    <col min="10" max="11" width="6.75" customWidth="1"/>
    <col min="12" max="12" width="3.75" customWidth="1"/>
    <col min="13" max="14" width="6.75" customWidth="1"/>
    <col min="27" max="27" width="25.25" customWidth="1"/>
  </cols>
  <sheetData>
    <row r="1" spans="1:33" ht="21.1">
      <c r="A1" s="1268" t="s">
        <v>861</v>
      </c>
      <c r="B1" s="1269"/>
      <c r="C1" s="1269"/>
      <c r="D1" s="1269"/>
      <c r="E1" s="1269"/>
      <c r="F1" s="1269"/>
      <c r="G1" s="1269"/>
      <c r="H1" s="1269"/>
      <c r="I1" s="1269"/>
      <c r="J1" s="1269"/>
      <c r="K1" s="1269"/>
      <c r="L1" s="1269"/>
      <c r="M1" s="1269"/>
      <c r="N1" s="1269"/>
      <c r="O1" s="1270"/>
      <c r="Z1" s="633">
        <v>4</v>
      </c>
      <c r="AA1" s="661" t="s">
        <v>702</v>
      </c>
      <c r="AB1" s="781">
        <v>0.3</v>
      </c>
      <c r="AC1" s="782">
        <v>0.7</v>
      </c>
      <c r="AE1" s="633">
        <v>2</v>
      </c>
      <c r="AF1" s="794" t="s">
        <v>759</v>
      </c>
      <c r="AG1" s="781">
        <v>0.6</v>
      </c>
    </row>
    <row r="2" spans="1:33" ht="27" customHeight="1">
      <c r="A2" s="1312" t="s">
        <v>756</v>
      </c>
      <c r="B2" s="1313"/>
      <c r="C2" s="1313"/>
      <c r="D2" s="1313"/>
      <c r="E2" s="1313"/>
      <c r="F2" s="1398"/>
      <c r="G2" s="1399"/>
      <c r="H2" s="1399"/>
      <c r="I2" s="1399"/>
      <c r="J2" s="1399"/>
      <c r="K2" s="1399"/>
      <c r="L2" s="1399"/>
      <c r="M2" s="1399"/>
      <c r="N2" s="1399"/>
      <c r="O2" s="1400"/>
      <c r="P2" s="1395" t="s">
        <v>867</v>
      </c>
      <c r="Q2" s="1396"/>
      <c r="R2" s="1397"/>
      <c r="Z2">
        <f>INDEX(AC1:AC8,Z1,1)</f>
        <v>0.7</v>
      </c>
      <c r="AA2" s="667" t="s">
        <v>707</v>
      </c>
      <c r="AB2" s="783">
        <v>0.3</v>
      </c>
      <c r="AC2" s="782">
        <v>0.7</v>
      </c>
      <c r="AE2">
        <f>INDEX(AG1:AG3,AE1,1)</f>
        <v>0.8</v>
      </c>
      <c r="AF2" s="796" t="s">
        <v>760</v>
      </c>
      <c r="AG2" s="783">
        <v>0.8</v>
      </c>
    </row>
    <row r="3" spans="1:33" ht="15.8" customHeight="1">
      <c r="A3" s="668" t="s">
        <v>711</v>
      </c>
      <c r="B3" s="451"/>
      <c r="C3" s="451"/>
      <c r="D3" s="452"/>
      <c r="E3" s="669"/>
      <c r="F3" s="287"/>
      <c r="I3" s="287"/>
      <c r="J3" s="287"/>
      <c r="K3" s="287"/>
      <c r="AA3" s="667" t="s">
        <v>713</v>
      </c>
      <c r="AB3" s="783">
        <v>0.6</v>
      </c>
      <c r="AC3" s="782">
        <v>0.7</v>
      </c>
      <c r="AF3" s="796" t="s">
        <v>762</v>
      </c>
      <c r="AG3" s="783">
        <v>2</v>
      </c>
    </row>
    <row r="4" spans="1:33" ht="15.8" customHeight="1">
      <c r="A4" s="668" t="s">
        <v>716</v>
      </c>
      <c r="B4" s="451"/>
      <c r="C4" s="452"/>
      <c r="D4" s="669"/>
      <c r="E4" s="287"/>
      <c r="I4" s="287"/>
      <c r="J4" s="287"/>
      <c r="K4" s="287"/>
      <c r="AA4" s="889" t="s">
        <v>718</v>
      </c>
      <c r="AB4" s="890">
        <v>0.6</v>
      </c>
      <c r="AC4" s="891">
        <v>0.7</v>
      </c>
    </row>
    <row r="5" spans="1:33" ht="15.8" customHeight="1">
      <c r="A5" s="668" t="s">
        <v>720</v>
      </c>
      <c r="B5" s="451"/>
      <c r="C5" s="451"/>
      <c r="D5" s="452"/>
      <c r="E5" s="892">
        <v>600</v>
      </c>
      <c r="F5" s="670" t="s">
        <v>1126</v>
      </c>
      <c r="H5" s="677"/>
      <c r="I5" s="677"/>
      <c r="J5" s="677"/>
      <c r="K5" s="677"/>
      <c r="L5" s="677"/>
      <c r="M5" s="677"/>
      <c r="N5" s="677"/>
      <c r="O5" s="677"/>
      <c r="AA5" s="893"/>
      <c r="AB5" s="709"/>
      <c r="AC5" s="894"/>
    </row>
    <row r="6" spans="1:33" ht="14.95">
      <c r="AA6" s="895"/>
      <c r="AB6" s="709"/>
      <c r="AC6" s="894"/>
    </row>
    <row r="7" spans="1:33" s="266" customFormat="1" ht="14.3" customHeight="1">
      <c r="C7" s="896"/>
      <c r="D7" s="266" t="s">
        <v>757</v>
      </c>
      <c r="AA7" s="897"/>
      <c r="AB7" s="898"/>
      <c r="AC7" s="899"/>
    </row>
    <row r="8" spans="1:33" ht="14.95">
      <c r="A8" s="788"/>
      <c r="B8" s="789"/>
      <c r="C8" s="790"/>
      <c r="D8" s="791"/>
      <c r="E8" s="792"/>
      <c r="F8" s="792"/>
      <c r="I8" s="189"/>
      <c r="J8" s="189"/>
      <c r="K8" s="189"/>
      <c r="L8" s="189"/>
      <c r="AA8" s="895"/>
      <c r="AB8" s="709"/>
      <c r="AC8" s="894"/>
    </row>
    <row r="9" spans="1:33" ht="15.65">
      <c r="A9" s="1320" t="s">
        <v>866</v>
      </c>
      <c r="B9" s="1269"/>
      <c r="C9" s="1269"/>
      <c r="D9" s="1269"/>
      <c r="E9" s="1269"/>
      <c r="F9" s="1269"/>
      <c r="G9" s="1269"/>
      <c r="H9" s="1270"/>
      <c r="I9" s="664"/>
      <c r="J9" s="664"/>
      <c r="K9" s="900"/>
      <c r="L9" s="664"/>
      <c r="M9" s="664"/>
      <c r="N9" s="664"/>
    </row>
    <row r="10" spans="1:33">
      <c r="A10" s="1353"/>
      <c r="B10" s="1300"/>
      <c r="C10" s="739"/>
      <c r="D10" s="695">
        <v>1.35</v>
      </c>
      <c r="E10" s="696" t="s">
        <v>705</v>
      </c>
      <c r="F10" s="697" t="s">
        <v>732</v>
      </c>
      <c r="G10" s="695">
        <v>1.5</v>
      </c>
      <c r="H10" s="696" t="s">
        <v>733</v>
      </c>
      <c r="J10" s="84"/>
      <c r="K10" s="728"/>
      <c r="L10" s="84"/>
      <c r="S10" s="280"/>
    </row>
    <row r="11" spans="1:33">
      <c r="A11" s="1353"/>
      <c r="B11" s="1300"/>
      <c r="C11" s="739"/>
      <c r="D11" s="695">
        <v>1.35</v>
      </c>
      <c r="E11" s="696" t="s">
        <v>705</v>
      </c>
      <c r="F11" s="697" t="s">
        <v>732</v>
      </c>
      <c r="G11" s="695">
        <v>1.5</v>
      </c>
      <c r="H11" s="696" t="s">
        <v>740</v>
      </c>
      <c r="I11" s="901"/>
      <c r="J11" s="84"/>
      <c r="K11" s="728"/>
      <c r="L11" s="84"/>
      <c r="P11" s="901"/>
      <c r="S11" s="280"/>
    </row>
    <row r="12" spans="1:33" ht="13.6">
      <c r="A12" s="1353"/>
      <c r="B12" s="1300"/>
      <c r="C12" s="739"/>
      <c r="D12" s="714">
        <v>1</v>
      </c>
      <c r="E12" s="715" t="s">
        <v>705</v>
      </c>
      <c r="F12" s="716" t="s">
        <v>732</v>
      </c>
      <c r="G12" s="847">
        <v>1</v>
      </c>
      <c r="H12" s="696" t="s">
        <v>717</v>
      </c>
      <c r="I12" s="901"/>
      <c r="J12" s="84"/>
      <c r="K12" s="728"/>
      <c r="L12" s="84"/>
      <c r="P12" s="901"/>
      <c r="S12" s="280"/>
    </row>
    <row r="13" spans="1:33">
      <c r="A13" s="1353"/>
      <c r="B13" s="1300"/>
      <c r="C13" s="739"/>
      <c r="D13" s="695">
        <v>1.35</v>
      </c>
      <c r="E13" s="696" t="s">
        <v>705</v>
      </c>
      <c r="F13" s="697" t="s">
        <v>732</v>
      </c>
      <c r="G13" s="695">
        <v>1.5</v>
      </c>
      <c r="H13" s="696" t="s">
        <v>721</v>
      </c>
      <c r="I13" s="901"/>
      <c r="J13" s="902"/>
      <c r="K13" s="903"/>
      <c r="L13" s="902"/>
      <c r="O13" s="904"/>
      <c r="P13" s="901"/>
      <c r="R13" s="901"/>
      <c r="S13" s="904"/>
    </row>
    <row r="14" spans="1:33">
      <c r="A14" s="1353"/>
      <c r="B14" s="1300"/>
      <c r="C14" s="739"/>
      <c r="D14" s="695">
        <v>1.35</v>
      </c>
      <c r="E14" s="696" t="s">
        <v>705</v>
      </c>
      <c r="F14" s="697" t="s">
        <v>732</v>
      </c>
      <c r="G14" s="695">
        <v>1.5</v>
      </c>
      <c r="H14" s="696" t="s">
        <v>733</v>
      </c>
      <c r="I14" s="67" t="s">
        <v>732</v>
      </c>
      <c r="J14" s="695">
        <f xml:space="preserve"> IF($E$5&gt;1000,1.05,0.75)</f>
        <v>0.75</v>
      </c>
      <c r="K14" s="696" t="s">
        <v>862</v>
      </c>
      <c r="L14" s="67" t="s">
        <v>732</v>
      </c>
      <c r="M14" s="697">
        <v>0.9</v>
      </c>
      <c r="N14" s="696" t="s">
        <v>721</v>
      </c>
      <c r="O14" s="904"/>
      <c r="P14" s="901"/>
      <c r="R14" s="901"/>
      <c r="S14" s="904"/>
      <c r="AA14" s="740"/>
    </row>
    <row r="15" spans="1:33">
      <c r="A15" s="1353"/>
      <c r="B15" s="1300"/>
      <c r="C15" s="739" t="str">
        <f>IF(E5&gt;500,"►","")</f>
        <v>►</v>
      </c>
      <c r="D15" s="695">
        <v>1.35</v>
      </c>
      <c r="E15" s="696" t="s">
        <v>705</v>
      </c>
      <c r="F15" s="697" t="s">
        <v>732</v>
      </c>
      <c r="G15" s="695">
        <v>1.5</v>
      </c>
      <c r="H15" s="696" t="s">
        <v>733</v>
      </c>
      <c r="I15" s="67" t="s">
        <v>732</v>
      </c>
      <c r="J15" s="695">
        <f xml:space="preserve"> IF($E$5&gt;1000,0.53,0.38)</f>
        <v>0.38</v>
      </c>
      <c r="K15" s="696" t="s">
        <v>863</v>
      </c>
      <c r="L15" s="67" t="s">
        <v>732</v>
      </c>
      <c r="M15" s="697">
        <v>0.9</v>
      </c>
      <c r="N15" s="696" t="s">
        <v>721</v>
      </c>
      <c r="O15" s="905"/>
      <c r="P15" s="799"/>
      <c r="Q15" s="799"/>
      <c r="R15" s="799"/>
      <c r="S15" s="906"/>
    </row>
    <row r="16" spans="1:33">
      <c r="A16" s="1353"/>
      <c r="B16" s="1300"/>
      <c r="C16" s="739"/>
      <c r="D16" s="695">
        <v>1.35</v>
      </c>
      <c r="E16" s="696" t="s">
        <v>705</v>
      </c>
      <c r="F16" s="697" t="s">
        <v>732</v>
      </c>
      <c r="G16" s="695">
        <v>1.5</v>
      </c>
      <c r="H16" s="696" t="s">
        <v>862</v>
      </c>
      <c r="I16" s="67" t="s">
        <v>732</v>
      </c>
      <c r="J16" s="695">
        <f>AA14*1.5</f>
        <v>0</v>
      </c>
      <c r="K16" s="696" t="s">
        <v>733</v>
      </c>
      <c r="L16" s="67" t="s">
        <v>732</v>
      </c>
      <c r="M16" s="697">
        <v>0.9</v>
      </c>
      <c r="N16" s="696" t="s">
        <v>721</v>
      </c>
      <c r="O16" s="744"/>
      <c r="P16" s="799"/>
      <c r="Q16" s="799"/>
      <c r="R16" s="799"/>
      <c r="S16" s="906"/>
    </row>
    <row r="17" spans="1:20">
      <c r="A17" s="1353"/>
      <c r="B17" s="1300"/>
      <c r="C17" s="739"/>
      <c r="D17" s="695">
        <v>1.35</v>
      </c>
      <c r="E17" s="696" t="s">
        <v>705</v>
      </c>
      <c r="F17" s="697" t="s">
        <v>732</v>
      </c>
      <c r="G17" s="695">
        <v>0.75</v>
      </c>
      <c r="H17" s="696" t="s">
        <v>863</v>
      </c>
      <c r="I17" s="67" t="s">
        <v>732</v>
      </c>
      <c r="J17" s="695">
        <f>(INDEX($AB$1:$AC$8,$Z$1,2))*1.5</f>
        <v>1.0499999999999998</v>
      </c>
      <c r="K17" s="696" t="s">
        <v>733</v>
      </c>
      <c r="L17" s="67" t="s">
        <v>732</v>
      </c>
      <c r="M17" s="697">
        <v>0.9</v>
      </c>
      <c r="N17" s="696" t="s">
        <v>721</v>
      </c>
      <c r="O17" s="905"/>
      <c r="P17" s="799"/>
      <c r="Q17" s="799"/>
      <c r="R17" s="799"/>
      <c r="S17" s="906"/>
    </row>
    <row r="18" spans="1:20">
      <c r="A18" s="1353"/>
      <c r="B18" s="693" t="s">
        <v>864</v>
      </c>
      <c r="C18" s="739"/>
      <c r="D18" s="695">
        <v>0.9</v>
      </c>
      <c r="E18" s="696" t="s">
        <v>705</v>
      </c>
      <c r="F18" s="697" t="s">
        <v>732</v>
      </c>
      <c r="G18" s="695">
        <v>1.5</v>
      </c>
      <c r="H18" s="696" t="s">
        <v>721</v>
      </c>
      <c r="I18" s="901"/>
      <c r="J18" s="287"/>
      <c r="K18" s="780"/>
      <c r="L18" s="287"/>
      <c r="P18" s="901"/>
    </row>
    <row r="19" spans="1:20">
      <c r="A19" s="1353" t="s">
        <v>734</v>
      </c>
      <c r="B19" s="1300" t="s">
        <v>735</v>
      </c>
      <c r="C19" s="739"/>
      <c r="D19" s="695"/>
      <c r="E19" s="696"/>
      <c r="F19" s="697"/>
      <c r="G19" s="695">
        <v>1</v>
      </c>
      <c r="H19" s="696" t="s">
        <v>733</v>
      </c>
      <c r="I19" s="287"/>
      <c r="J19" s="287"/>
      <c r="K19" s="780"/>
      <c r="L19" s="287"/>
      <c r="R19" s="901"/>
    </row>
    <row r="20" spans="1:20">
      <c r="A20" s="1353"/>
      <c r="B20" s="1300"/>
      <c r="C20" s="739"/>
      <c r="D20" s="695"/>
      <c r="E20" s="696"/>
      <c r="F20" s="697"/>
      <c r="G20" s="695">
        <v>1</v>
      </c>
      <c r="H20" s="696" t="s">
        <v>863</v>
      </c>
      <c r="I20" s="901"/>
      <c r="J20" s="287"/>
      <c r="K20" s="780"/>
      <c r="L20" s="287"/>
      <c r="R20" s="901"/>
    </row>
    <row r="21" spans="1:20">
      <c r="A21" s="1353"/>
      <c r="B21" s="1300"/>
      <c r="C21" s="739"/>
      <c r="D21" s="695"/>
      <c r="E21" s="696"/>
      <c r="F21" s="697"/>
      <c r="G21" s="695">
        <v>1</v>
      </c>
      <c r="H21" s="696" t="s">
        <v>721</v>
      </c>
      <c r="I21" s="901"/>
      <c r="J21" s="287"/>
      <c r="K21" s="780"/>
      <c r="L21" s="287"/>
      <c r="P21" s="901"/>
      <c r="R21" s="901"/>
    </row>
    <row r="22" spans="1:20">
      <c r="A22" s="1353"/>
      <c r="B22" s="1393"/>
      <c r="C22" s="739"/>
      <c r="D22" s="695"/>
      <c r="E22" s="696"/>
      <c r="F22" s="697"/>
      <c r="G22" s="695">
        <v>1</v>
      </c>
      <c r="H22" s="696" t="s">
        <v>863</v>
      </c>
      <c r="I22" s="802" t="s">
        <v>732</v>
      </c>
      <c r="J22" s="695">
        <f>INDEX($AB$1:$AC$8,$Z$1,2)</f>
        <v>0.7</v>
      </c>
      <c r="K22" s="804" t="s">
        <v>733</v>
      </c>
      <c r="L22" s="67" t="s">
        <v>732</v>
      </c>
      <c r="M22" s="697">
        <v>0.6</v>
      </c>
      <c r="N22" s="696" t="s">
        <v>721</v>
      </c>
      <c r="P22" s="901"/>
    </row>
    <row r="23" spans="1:20">
      <c r="A23" s="1353"/>
      <c r="B23" s="737" t="s">
        <v>736</v>
      </c>
      <c r="C23" s="739"/>
      <c r="D23" s="695">
        <f>AE2</f>
        <v>0.8</v>
      </c>
      <c r="E23" s="696" t="s">
        <v>705</v>
      </c>
      <c r="F23" s="697"/>
      <c r="G23" s="695">
        <f>Z2*AE2</f>
        <v>0.55999999999999994</v>
      </c>
      <c r="H23" s="696" t="s">
        <v>733</v>
      </c>
      <c r="I23" s="697"/>
      <c r="J23" s="695">
        <f xml:space="preserve"> IF($E$5&gt;1000,0.2*AE2,0)</f>
        <v>0</v>
      </c>
      <c r="K23" s="696" t="s">
        <v>863</v>
      </c>
    </row>
    <row r="24" spans="1:20">
      <c r="A24" s="1393"/>
      <c r="B24" s="1394" t="s">
        <v>738</v>
      </c>
      <c r="C24" s="694"/>
      <c r="D24" s="695">
        <f>1+$D$23</f>
        <v>1.8</v>
      </c>
      <c r="E24" s="696" t="str">
        <f>E23</f>
        <v>G</v>
      </c>
      <c r="F24" s="697" t="s">
        <v>732</v>
      </c>
      <c r="G24" s="803">
        <f>G20+G23</f>
        <v>1.56</v>
      </c>
      <c r="H24" s="696" t="s">
        <v>733</v>
      </c>
      <c r="I24" s="742"/>
      <c r="J24" s="740"/>
      <c r="K24" s="741"/>
      <c r="L24" s="189"/>
    </row>
    <row r="25" spans="1:20">
      <c r="A25" s="1393"/>
      <c r="B25" s="1394"/>
      <c r="C25" s="694"/>
      <c r="D25" s="695">
        <f>1+$D$23</f>
        <v>1.8</v>
      </c>
      <c r="E25" s="696" t="str">
        <f>E24</f>
        <v>G</v>
      </c>
      <c r="F25" s="697" t="s">
        <v>732</v>
      </c>
      <c r="G25" s="695">
        <f>G20+J23</f>
        <v>1</v>
      </c>
      <c r="H25" s="696" t="s">
        <v>863</v>
      </c>
      <c r="I25" s="742"/>
      <c r="J25" s="740"/>
      <c r="K25" s="741"/>
      <c r="L25" s="189"/>
    </row>
    <row r="26" spans="1:20">
      <c r="A26" s="1393"/>
      <c r="B26" s="1394"/>
      <c r="C26" s="729"/>
      <c r="D26" s="695">
        <f>1+$D$23</f>
        <v>1.8</v>
      </c>
      <c r="E26" s="733" t="str">
        <f>E25</f>
        <v>G</v>
      </c>
      <c r="F26" s="734" t="str">
        <f>F25</f>
        <v>+</v>
      </c>
      <c r="G26" s="732">
        <f>G21</f>
        <v>1</v>
      </c>
      <c r="H26" s="696" t="s">
        <v>721</v>
      </c>
      <c r="I26" s="742"/>
      <c r="J26" s="740"/>
      <c r="K26" s="741"/>
      <c r="L26" s="189"/>
    </row>
    <row r="27" spans="1:20" ht="13.6">
      <c r="A27" s="1393"/>
      <c r="B27" s="1393"/>
      <c r="C27" s="694"/>
      <c r="D27" s="695">
        <f>1+$D$23</f>
        <v>1.8</v>
      </c>
      <c r="E27" s="696" t="str">
        <f>E26</f>
        <v>G</v>
      </c>
      <c r="F27" s="697" t="str">
        <f>F26</f>
        <v>+</v>
      </c>
      <c r="G27" s="695">
        <f>G25</f>
        <v>1</v>
      </c>
      <c r="H27" s="696" t="s">
        <v>863</v>
      </c>
      <c r="I27" s="802" t="s">
        <v>732</v>
      </c>
      <c r="J27" s="907">
        <f>1.21</f>
        <v>1.21</v>
      </c>
      <c r="K27" s="397" t="s">
        <v>733</v>
      </c>
      <c r="L27" s="802" t="s">
        <v>732</v>
      </c>
      <c r="M27" s="67">
        <f>G26</f>
        <v>1</v>
      </c>
      <c r="N27" s="76" t="s">
        <v>721</v>
      </c>
    </row>
    <row r="28" spans="1:20">
      <c r="A28" s="748"/>
      <c r="B28" s="189"/>
      <c r="C28" s="739"/>
      <c r="D28" s="740"/>
      <c r="E28" s="741"/>
      <c r="F28" s="742"/>
      <c r="G28" s="740"/>
      <c r="H28" s="741"/>
      <c r="I28" s="189"/>
      <c r="J28" s="189"/>
      <c r="K28" s="189"/>
      <c r="L28" s="189"/>
    </row>
    <row r="29" spans="1:20">
      <c r="A29" s="748"/>
      <c r="B29" s="189"/>
      <c r="C29" s="739"/>
      <c r="D29" s="740"/>
      <c r="E29" s="741"/>
      <c r="F29" s="742"/>
      <c r="G29" s="740"/>
      <c r="H29" s="741"/>
      <c r="I29" s="189"/>
      <c r="J29" s="189"/>
      <c r="K29" s="189"/>
      <c r="L29" s="189"/>
    </row>
    <row r="30" spans="1:20">
      <c r="A30" s="788"/>
      <c r="C30" s="212"/>
      <c r="H30" s="711"/>
      <c r="K30" s="2"/>
      <c r="P30" s="275"/>
      <c r="R30" s="664"/>
      <c r="S30" s="664"/>
      <c r="T30" s="664"/>
    </row>
    <row r="31" spans="1:20">
      <c r="A31" s="748"/>
      <c r="B31" s="189"/>
      <c r="C31" s="739"/>
      <c r="D31" s="740"/>
      <c r="E31" s="741"/>
      <c r="F31" s="742"/>
      <c r="G31" s="740"/>
      <c r="H31" s="741"/>
      <c r="I31" s="189"/>
      <c r="J31" s="189"/>
      <c r="K31" s="189"/>
      <c r="L31" s="189"/>
      <c r="P31" s="275"/>
    </row>
    <row r="32" spans="1:20">
      <c r="A32" s="744" t="s">
        <v>772</v>
      </c>
      <c r="B32" s="189"/>
      <c r="C32" s="739"/>
      <c r="D32" s="740"/>
      <c r="E32" s="741"/>
      <c r="F32" s="742"/>
      <c r="G32" s="740"/>
      <c r="H32" s="741"/>
      <c r="I32" s="189"/>
      <c r="J32" s="189"/>
      <c r="K32" s="189"/>
      <c r="L32" s="189"/>
      <c r="M32" s="287"/>
      <c r="N32" s="287"/>
      <c r="O32" s="287"/>
      <c r="P32" s="664"/>
      <c r="Q32" s="287"/>
      <c r="R32" s="287"/>
      <c r="S32" s="287"/>
    </row>
    <row r="33" spans="1:19" ht="13.6">
      <c r="A33" s="806" t="s">
        <v>773</v>
      </c>
      <c r="B33" s="287"/>
      <c r="C33" s="212"/>
      <c r="D33" s="699"/>
      <c r="E33" s="85"/>
      <c r="F33" s="287"/>
      <c r="G33" s="287"/>
      <c r="H33" s="807"/>
      <c r="I33" s="287"/>
      <c r="J33" s="287"/>
      <c r="K33" s="780"/>
      <c r="L33" s="287"/>
      <c r="M33" s="287"/>
      <c r="N33" s="287"/>
      <c r="O33" s="287"/>
      <c r="P33" s="664"/>
      <c r="Q33" s="287"/>
      <c r="R33" s="287"/>
      <c r="S33" s="287"/>
    </row>
    <row r="34" spans="1:19" ht="13.6">
      <c r="A34" s="761" t="s">
        <v>774</v>
      </c>
      <c r="C34" s="212"/>
      <c r="D34" s="287"/>
      <c r="E34" s="287"/>
      <c r="F34" s="287"/>
      <c r="G34" s="287"/>
      <c r="H34" s="761"/>
      <c r="I34" s="287"/>
      <c r="J34" s="287"/>
      <c r="K34" s="780"/>
      <c r="L34" s="287"/>
      <c r="M34" s="287"/>
      <c r="N34" s="287"/>
      <c r="O34" s="287"/>
      <c r="P34" s="664"/>
      <c r="Q34" s="287"/>
      <c r="R34" s="287"/>
      <c r="S34" s="287"/>
    </row>
    <row r="35" spans="1:19">
      <c r="A35" s="780" t="s">
        <v>775</v>
      </c>
      <c r="B35" s="287"/>
      <c r="C35" s="212"/>
      <c r="D35" s="287"/>
      <c r="E35" s="287"/>
      <c r="F35" s="287"/>
      <c r="G35" s="287"/>
      <c r="H35" s="761"/>
      <c r="I35" s="287"/>
      <c r="J35" s="287"/>
      <c r="K35" s="780"/>
      <c r="L35" s="287"/>
      <c r="M35" s="287"/>
      <c r="N35" s="287"/>
      <c r="O35" s="287"/>
      <c r="P35" s="664"/>
      <c r="Q35" s="287"/>
      <c r="R35" s="287"/>
      <c r="S35" s="287"/>
    </row>
    <row r="36" spans="1:19">
      <c r="A36" s="744" t="s">
        <v>752</v>
      </c>
      <c r="B36" s="287"/>
      <c r="C36" s="212"/>
      <c r="D36" s="287"/>
      <c r="E36" s="287"/>
      <c r="F36" s="287"/>
      <c r="G36" s="287"/>
      <c r="H36" s="761"/>
      <c r="I36" s="287"/>
      <c r="J36" s="287"/>
      <c r="K36" s="780"/>
      <c r="L36" s="287"/>
      <c r="M36" s="287"/>
      <c r="N36" s="287"/>
      <c r="O36" s="287"/>
      <c r="P36" s="664"/>
      <c r="Q36" s="287"/>
      <c r="R36" s="287"/>
      <c r="S36" s="287"/>
    </row>
    <row r="37" spans="1:19">
      <c r="A37" s="744" t="s">
        <v>865</v>
      </c>
      <c r="B37" s="287"/>
      <c r="C37" s="212"/>
      <c r="D37" s="287"/>
      <c r="E37" s="287"/>
      <c r="F37" s="287"/>
      <c r="G37" s="287"/>
      <c r="H37" s="761"/>
      <c r="I37" s="287"/>
      <c r="J37" s="287"/>
      <c r="K37" s="780"/>
      <c r="L37" s="287"/>
      <c r="M37" s="287"/>
      <c r="N37" s="287"/>
      <c r="O37" s="287"/>
      <c r="P37" s="664"/>
      <c r="Q37" s="287"/>
      <c r="R37" s="287"/>
      <c r="S37" s="287"/>
    </row>
    <row r="38" spans="1:19">
      <c r="A38" s="664"/>
      <c r="B38" s="287"/>
      <c r="C38" s="212"/>
      <c r="D38" s="287"/>
      <c r="E38" s="287"/>
      <c r="F38" s="287"/>
      <c r="G38" s="287"/>
      <c r="H38" s="761"/>
      <c r="I38" s="287"/>
      <c r="J38" s="287"/>
      <c r="K38" s="780"/>
      <c r="L38" s="287"/>
      <c r="M38" s="287"/>
      <c r="N38" s="287"/>
      <c r="O38" s="287"/>
      <c r="P38" s="664"/>
      <c r="Q38" s="287"/>
      <c r="R38" s="287"/>
      <c r="S38" s="287"/>
    </row>
    <row r="39" spans="1:19">
      <c r="A39" s="664"/>
      <c r="B39" s="287"/>
      <c r="C39" s="212"/>
      <c r="D39" s="287"/>
      <c r="E39" s="287"/>
      <c r="F39" s="287"/>
      <c r="G39" s="287"/>
      <c r="H39" s="761"/>
      <c r="I39" s="287"/>
      <c r="J39" s="287"/>
      <c r="K39" s="780"/>
      <c r="L39" s="287"/>
      <c r="M39" s="287"/>
      <c r="N39" s="287"/>
      <c r="O39" s="287"/>
      <c r="P39" s="664"/>
      <c r="Q39" s="287"/>
      <c r="R39" s="287"/>
      <c r="S39" s="287"/>
    </row>
    <row r="40" spans="1:19">
      <c r="A40" s="808"/>
      <c r="B40" s="287"/>
      <c r="C40" s="212"/>
      <c r="D40" s="287"/>
      <c r="E40" s="287"/>
      <c r="F40" s="287"/>
      <c r="G40" s="287"/>
      <c r="H40" s="761"/>
      <c r="I40" s="287"/>
      <c r="J40" s="287"/>
      <c r="K40" s="780"/>
      <c r="L40" s="287"/>
      <c r="M40" s="287"/>
      <c r="N40" s="287"/>
      <c r="O40" s="287"/>
      <c r="P40" s="664"/>
      <c r="Q40" s="287"/>
      <c r="R40" s="287"/>
      <c r="S40" s="287"/>
    </row>
    <row r="41" spans="1:19">
      <c r="P41" s="275"/>
    </row>
    <row r="42" spans="1:19">
      <c r="P42" s="275"/>
    </row>
    <row r="43" spans="1:19" s="287" customFormat="1">
      <c r="A43" s="1326"/>
      <c r="B43" s="809"/>
      <c r="C43" s="1328"/>
      <c r="D43" s="1328"/>
      <c r="E43" s="1329"/>
      <c r="F43" s="1329"/>
      <c r="G43" s="1329"/>
      <c r="H43" s="1329"/>
      <c r="I43" s="1329"/>
      <c r="J43" s="1329"/>
      <c r="K43" s="1329"/>
      <c r="L43" s="1329"/>
      <c r="P43" s="664"/>
    </row>
    <row r="44" spans="1:19" s="287" customFormat="1">
      <c r="A44" s="1327"/>
      <c r="B44" s="810"/>
      <c r="C44" s="1328"/>
      <c r="D44" s="1328"/>
      <c r="E44" s="1329"/>
      <c r="F44" s="1329"/>
      <c r="G44" s="1329"/>
      <c r="H44" s="1329"/>
      <c r="I44" s="1329"/>
      <c r="J44" s="1329"/>
      <c r="K44" s="1329"/>
      <c r="L44" s="1329"/>
      <c r="P44" s="664"/>
    </row>
    <row r="45" spans="1:19">
      <c r="P45" s="275"/>
    </row>
    <row r="46" spans="1:19">
      <c r="P46" s="275"/>
    </row>
    <row r="47" spans="1:19">
      <c r="P47" s="275"/>
    </row>
    <row r="48" spans="1:19">
      <c r="P48" s="275"/>
    </row>
    <row r="49" spans="16:16">
      <c r="P49" s="275"/>
    </row>
    <row r="50" spans="16:16">
      <c r="P50" s="275"/>
    </row>
    <row r="51" spans="16:16">
      <c r="P51" s="275"/>
    </row>
    <row r="52" spans="16:16">
      <c r="P52" s="275"/>
    </row>
    <row r="53" spans="16:16">
      <c r="P53" s="275"/>
    </row>
    <row r="54" spans="16:16">
      <c r="P54" s="275"/>
    </row>
    <row r="55" spans="16:16">
      <c r="P55" s="275"/>
    </row>
    <row r="56" spans="16:16">
      <c r="P56" s="275"/>
    </row>
  </sheetData>
  <sheetProtection password="CCC4" sheet="1" objects="1" scenarios="1"/>
  <mergeCells count="14">
    <mergeCell ref="P2:R2"/>
    <mergeCell ref="A9:H9"/>
    <mergeCell ref="A10:A18"/>
    <mergeCell ref="B10:B17"/>
    <mergeCell ref="F2:O2"/>
    <mergeCell ref="A19:A27"/>
    <mergeCell ref="A43:A44"/>
    <mergeCell ref="A1:O1"/>
    <mergeCell ref="A2:E2"/>
    <mergeCell ref="C43:D43"/>
    <mergeCell ref="E43:L44"/>
    <mergeCell ref="C44:D44"/>
    <mergeCell ref="B19:B22"/>
    <mergeCell ref="B24:B27"/>
  </mergeCells>
  <phoneticPr fontId="2" type="noConversion"/>
  <hyperlinks>
    <hyperlink ref="P2" location="MENU!A1" display="RETOUR MENU"/>
    <hyperlink ref="P2:R2" location="'M4'!A1" display="RETOUR MENU CHARGEMENTS"/>
  </hyperlinks>
  <pageMargins left="0.3" right="0.39" top="0.984251969" bottom="0.984251969" header="0.4921259845" footer="0.4921259845"/>
  <pageSetup paperSize="9"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77" r:id="rId4" name="Drop Down 1">
              <controlPr defaultSize="0" autoLine="0" autoPict="0">
                <anchor moveWithCells="1">
                  <from>
                    <xdr:col>3</xdr:col>
                    <xdr:colOff>0</xdr:colOff>
                    <xdr:row>2</xdr:row>
                    <xdr:rowOff>0</xdr:rowOff>
                  </from>
                  <to>
                    <xdr:col>6</xdr:col>
                    <xdr:colOff>267419</xdr:colOff>
                    <xdr:row>3</xdr:row>
                    <xdr:rowOff>0</xdr:rowOff>
                  </to>
                </anchor>
              </controlPr>
            </control>
          </mc:Choice>
        </mc:AlternateContent>
        <mc:AlternateContent xmlns:mc="http://schemas.openxmlformats.org/markup-compatibility/2006">
          <mc:Choice Requires="x14">
            <control shapeId="50179" r:id="rId5" name="Drop Down 3">
              <controlPr defaultSize="0" autoLine="0" autoPict="0">
                <anchor moveWithCells="1">
                  <from>
                    <xdr:col>3</xdr:col>
                    <xdr:colOff>0</xdr:colOff>
                    <xdr:row>3</xdr:row>
                    <xdr:rowOff>0</xdr:rowOff>
                  </from>
                  <to>
                    <xdr:col>6</xdr:col>
                    <xdr:colOff>267419</xdr:colOff>
                    <xdr:row>4</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sqref="A1:K1"/>
    </sheetView>
  </sheetViews>
  <sheetFormatPr baseColWidth="10" defaultRowHeight="12.9"/>
  <cols>
    <col min="1" max="1" width="8.375" customWidth="1"/>
    <col min="9" max="9" width="16.625" customWidth="1"/>
  </cols>
  <sheetData>
    <row r="1" spans="1:12" s="1" customFormat="1" ht="28.55" customHeight="1" thickBot="1">
      <c r="A1" s="1407" t="s">
        <v>615</v>
      </c>
      <c r="B1" s="1251"/>
      <c r="C1" s="1251"/>
      <c r="D1" s="1251"/>
      <c r="E1" s="1251"/>
      <c r="F1" s="1251"/>
      <c r="G1" s="1251"/>
      <c r="H1" s="1251"/>
      <c r="I1" s="1251"/>
      <c r="J1" s="1251"/>
      <c r="K1" s="1408"/>
      <c r="L1" s="606" t="s">
        <v>618</v>
      </c>
    </row>
    <row r="2" spans="1:12" ht="23.3" customHeight="1">
      <c r="A2" s="1409" t="s">
        <v>575</v>
      </c>
      <c r="B2" s="1254"/>
      <c r="C2" s="1254"/>
      <c r="D2" s="1254"/>
      <c r="E2" s="1254"/>
      <c r="F2" s="1254"/>
      <c r="G2" s="1254"/>
      <c r="H2" s="1254"/>
      <c r="I2" s="1254"/>
      <c r="J2" s="1254"/>
      <c r="K2" s="1254"/>
    </row>
    <row r="3" spans="1:12" ht="93.1" customHeight="1"/>
    <row r="4" spans="1:12" ht="19.55" customHeight="1">
      <c r="A4" s="1409" t="s">
        <v>616</v>
      </c>
      <c r="B4" s="1254"/>
      <c r="C4" s="1254"/>
      <c r="D4" s="1254"/>
      <c r="E4" s="1254"/>
      <c r="F4" s="1254"/>
      <c r="G4" s="1254"/>
      <c r="H4" s="1254"/>
      <c r="I4" s="1254"/>
      <c r="J4" s="1254"/>
      <c r="K4" s="1254"/>
    </row>
    <row r="5" spans="1:12" ht="92.25" customHeight="1"/>
    <row r="6" spans="1:12" ht="20.25" customHeight="1">
      <c r="A6" s="1409" t="s">
        <v>619</v>
      </c>
      <c r="B6" s="1254"/>
      <c r="C6" s="1254"/>
      <c r="D6" s="1254"/>
      <c r="E6" s="1254"/>
      <c r="F6" s="1254"/>
      <c r="G6" s="1254"/>
      <c r="H6" s="1254"/>
      <c r="I6" s="1254"/>
      <c r="J6" s="1254"/>
      <c r="K6" s="1254"/>
    </row>
    <row r="7" spans="1:12" ht="167.95" customHeight="1"/>
    <row r="8" spans="1:12" ht="20.25" customHeight="1" thickBot="1">
      <c r="A8" s="1409" t="s">
        <v>658</v>
      </c>
      <c r="B8" s="1251"/>
      <c r="C8" s="1251"/>
      <c r="D8" s="1251"/>
      <c r="E8" s="1251"/>
      <c r="F8" s="1251"/>
      <c r="G8" s="1251"/>
      <c r="H8" s="1251"/>
      <c r="I8" s="1251"/>
      <c r="J8" s="1251"/>
      <c r="K8" s="1251"/>
    </row>
    <row r="9" spans="1:12" ht="20.25" customHeight="1" thickBot="1">
      <c r="A9" s="1404" t="s">
        <v>642</v>
      </c>
      <c r="B9" s="1405"/>
      <c r="C9" s="1405"/>
      <c r="D9" s="1405"/>
      <c r="E9" s="1406"/>
      <c r="G9" s="1404" t="s">
        <v>659</v>
      </c>
      <c r="H9" s="1405"/>
      <c r="I9" s="1405"/>
      <c r="J9" s="1405"/>
      <c r="K9" s="1406"/>
    </row>
    <row r="10" spans="1:12" ht="14.3" thickBot="1">
      <c r="A10" s="607" t="s">
        <v>620</v>
      </c>
      <c r="B10" s="608" t="s">
        <v>621</v>
      </c>
      <c r="C10" s="608" t="s">
        <v>622</v>
      </c>
      <c r="D10" s="610" t="s">
        <v>623</v>
      </c>
      <c r="E10" s="614" t="s">
        <v>635</v>
      </c>
      <c r="G10" s="554"/>
      <c r="H10" s="615" t="s">
        <v>643</v>
      </c>
      <c r="I10" s="611" t="s">
        <v>644</v>
      </c>
      <c r="J10" s="611" t="s">
        <v>645</v>
      </c>
      <c r="K10" s="611" t="s">
        <v>646</v>
      </c>
    </row>
    <row r="11" spans="1:12" ht="14.95" thickBot="1">
      <c r="A11" s="1410" t="s">
        <v>624</v>
      </c>
      <c r="B11" s="1413" t="s">
        <v>625</v>
      </c>
      <c r="C11" s="609">
        <v>10</v>
      </c>
      <c r="D11" s="1410">
        <v>60</v>
      </c>
      <c r="E11" s="1410" t="s">
        <v>636</v>
      </c>
      <c r="G11" s="1401" t="s">
        <v>647</v>
      </c>
      <c r="H11" s="611" t="s">
        <v>648</v>
      </c>
      <c r="I11" s="612">
        <v>65</v>
      </c>
      <c r="J11" s="609">
        <v>30</v>
      </c>
      <c r="K11" s="613">
        <v>1.6</v>
      </c>
    </row>
    <row r="12" spans="1:12" ht="14.95" thickBot="1">
      <c r="A12" s="1411"/>
      <c r="B12" s="1414"/>
      <c r="C12" s="609">
        <v>12</v>
      </c>
      <c r="D12" s="1411"/>
      <c r="E12" s="1411"/>
      <c r="G12" s="1402"/>
      <c r="H12" s="611" t="s">
        <v>545</v>
      </c>
      <c r="I12" s="612">
        <v>95</v>
      </c>
      <c r="J12" s="609">
        <v>30</v>
      </c>
      <c r="K12" s="613">
        <v>2.5</v>
      </c>
    </row>
    <row r="13" spans="1:12" ht="14.95" thickBot="1">
      <c r="A13" s="1412"/>
      <c r="B13" s="1415"/>
      <c r="C13" s="609">
        <v>16</v>
      </c>
      <c r="D13" s="1412"/>
      <c r="E13" s="1412"/>
      <c r="G13" s="1402"/>
      <c r="H13" s="611" t="s">
        <v>649</v>
      </c>
      <c r="I13" s="612">
        <v>131</v>
      </c>
      <c r="J13" s="609">
        <v>45</v>
      </c>
      <c r="K13" s="613">
        <v>4.75</v>
      </c>
    </row>
    <row r="14" spans="1:12" ht="14.95" thickBot="1">
      <c r="A14" s="1410" t="s">
        <v>624</v>
      </c>
      <c r="B14" s="1413" t="s">
        <v>626</v>
      </c>
      <c r="C14" s="609">
        <v>12</v>
      </c>
      <c r="D14" s="1410">
        <v>60</v>
      </c>
      <c r="E14" s="1410" t="s">
        <v>637</v>
      </c>
      <c r="G14" s="1402"/>
      <c r="H14" s="611" t="s">
        <v>3</v>
      </c>
      <c r="I14" s="612">
        <v>129</v>
      </c>
      <c r="J14" s="609">
        <v>30</v>
      </c>
      <c r="K14" s="613">
        <v>3.15</v>
      </c>
    </row>
    <row r="15" spans="1:12" ht="14.95" thickBot="1">
      <c r="A15" s="1411"/>
      <c r="B15" s="1414"/>
      <c r="C15" s="609">
        <v>16</v>
      </c>
      <c r="D15" s="1411"/>
      <c r="E15" s="1411"/>
      <c r="G15" s="1403"/>
      <c r="H15" s="611" t="s">
        <v>1066</v>
      </c>
      <c r="I15" s="612">
        <v>160</v>
      </c>
      <c r="J15" s="609">
        <v>45</v>
      </c>
      <c r="K15" s="613">
        <v>8.6</v>
      </c>
    </row>
    <row r="16" spans="1:12" ht="14.95" thickBot="1">
      <c r="A16" s="1412"/>
      <c r="B16" s="1415"/>
      <c r="C16" s="609">
        <v>20</v>
      </c>
      <c r="D16" s="1412"/>
      <c r="E16" s="1412"/>
      <c r="G16" s="1401" t="s">
        <v>650</v>
      </c>
      <c r="H16" s="611" t="s">
        <v>651</v>
      </c>
      <c r="I16" s="612">
        <v>80</v>
      </c>
      <c r="J16" s="609">
        <v>22</v>
      </c>
      <c r="K16" s="613">
        <v>2.75</v>
      </c>
    </row>
    <row r="17" spans="1:12" ht="14.95" thickBot="1">
      <c r="A17" s="1410" t="s">
        <v>624</v>
      </c>
      <c r="B17" s="1413" t="s">
        <v>627</v>
      </c>
      <c r="C17" s="609">
        <v>12</v>
      </c>
      <c r="D17" s="1410">
        <v>60</v>
      </c>
      <c r="E17" s="1410" t="s">
        <v>638</v>
      </c>
      <c r="G17" s="1402"/>
      <c r="H17" s="611" t="s">
        <v>652</v>
      </c>
      <c r="I17" s="612">
        <v>98</v>
      </c>
      <c r="J17" s="609">
        <v>26</v>
      </c>
      <c r="K17" s="613">
        <v>4.7</v>
      </c>
    </row>
    <row r="18" spans="1:12" ht="14.95" thickBot="1">
      <c r="A18" s="1411"/>
      <c r="B18" s="1414"/>
      <c r="C18" s="609">
        <v>16</v>
      </c>
      <c r="D18" s="1411"/>
      <c r="E18" s="1411"/>
      <c r="G18" s="1402"/>
      <c r="H18" s="611" t="s">
        <v>653</v>
      </c>
      <c r="I18" s="612">
        <v>132</v>
      </c>
      <c r="J18" s="609">
        <v>30</v>
      </c>
      <c r="K18" s="613">
        <v>9.25</v>
      </c>
    </row>
    <row r="19" spans="1:12" ht="14.95" thickBot="1">
      <c r="A19" s="1412"/>
      <c r="B19" s="1415"/>
      <c r="C19" s="609">
        <v>22</v>
      </c>
      <c r="D19" s="1412"/>
      <c r="E19" s="1412"/>
      <c r="G19" s="1402"/>
      <c r="H19" s="611" t="s">
        <v>654</v>
      </c>
      <c r="I19" s="612">
        <v>130</v>
      </c>
      <c r="J19" s="609">
        <v>23</v>
      </c>
      <c r="K19" s="613">
        <v>6.7</v>
      </c>
    </row>
    <row r="20" spans="1:12" ht="14.95" thickBot="1">
      <c r="A20" s="1410" t="s">
        <v>624</v>
      </c>
      <c r="B20" s="1413" t="s">
        <v>628</v>
      </c>
      <c r="C20" s="609">
        <v>16</v>
      </c>
      <c r="D20" s="1410">
        <v>64</v>
      </c>
      <c r="E20" s="1410" t="s">
        <v>639</v>
      </c>
      <c r="G20" s="1402"/>
      <c r="H20" s="611" t="s">
        <v>655</v>
      </c>
      <c r="I20" s="612">
        <v>160</v>
      </c>
      <c r="J20" s="609">
        <v>30</v>
      </c>
      <c r="K20" s="613">
        <v>14.25</v>
      </c>
    </row>
    <row r="21" spans="1:12" ht="14.95" thickBot="1">
      <c r="A21" s="1411"/>
      <c r="B21" s="1414"/>
      <c r="C21" s="609">
        <v>20</v>
      </c>
      <c r="D21" s="1411"/>
      <c r="E21" s="1411"/>
      <c r="G21" s="1402"/>
      <c r="H21" s="611" t="s">
        <v>656</v>
      </c>
      <c r="I21" s="612">
        <v>191</v>
      </c>
      <c r="J21" s="609">
        <v>32</v>
      </c>
      <c r="K21" s="613">
        <v>21.4</v>
      </c>
      <c r="L21" s="122"/>
    </row>
    <row r="22" spans="1:12" ht="14.95" thickBot="1">
      <c r="A22" s="1412"/>
      <c r="B22" s="1415"/>
      <c r="C22" s="609">
        <v>24</v>
      </c>
      <c r="D22" s="1412"/>
      <c r="E22" s="1412"/>
      <c r="G22" s="1403"/>
      <c r="H22" s="611" t="s">
        <v>657</v>
      </c>
      <c r="I22" s="612">
        <v>232</v>
      </c>
      <c r="J22" s="609">
        <v>35</v>
      </c>
      <c r="K22" s="613">
        <v>34</v>
      </c>
      <c r="L22" s="122"/>
    </row>
    <row r="23" spans="1:12" ht="13.6" thickBot="1">
      <c r="A23" s="1410" t="s">
        <v>624</v>
      </c>
      <c r="B23" s="1413" t="s">
        <v>629</v>
      </c>
      <c r="C23" s="609">
        <v>20</v>
      </c>
      <c r="D23" s="1410">
        <v>80</v>
      </c>
      <c r="E23" s="1410" t="s">
        <v>640</v>
      </c>
      <c r="J23" s="11"/>
      <c r="K23" s="11"/>
      <c r="L23" s="122"/>
    </row>
    <row r="24" spans="1:12" ht="13.6" thickBot="1">
      <c r="A24" s="1411"/>
      <c r="B24" s="1414"/>
      <c r="C24" s="609">
        <v>22</v>
      </c>
      <c r="D24" s="1411"/>
      <c r="E24" s="1411"/>
      <c r="J24" s="11"/>
      <c r="K24" s="287"/>
      <c r="L24" s="287"/>
    </row>
    <row r="25" spans="1:12" ht="13.6" thickBot="1">
      <c r="A25" s="1412"/>
      <c r="B25" s="1415"/>
      <c r="C25" s="609">
        <v>24</v>
      </c>
      <c r="D25" s="1412"/>
      <c r="E25" s="1412"/>
      <c r="J25" s="11"/>
      <c r="K25" s="1416"/>
      <c r="L25" s="1416"/>
    </row>
    <row r="26" spans="1:12" ht="13.6" thickBot="1">
      <c r="A26" s="1410" t="s">
        <v>630</v>
      </c>
      <c r="B26" s="1410" t="s">
        <v>631</v>
      </c>
      <c r="C26" s="609">
        <v>16</v>
      </c>
      <c r="D26" s="1410">
        <v>60</v>
      </c>
      <c r="E26" s="1410" t="s">
        <v>641</v>
      </c>
      <c r="J26" s="11"/>
      <c r="K26" s="122"/>
      <c r="L26" s="11"/>
    </row>
    <row r="27" spans="1:12" ht="13.6" thickBot="1">
      <c r="A27" s="1411"/>
      <c r="B27" s="1411"/>
      <c r="C27" s="609">
        <v>20</v>
      </c>
      <c r="D27" s="1411"/>
      <c r="E27" s="1411"/>
      <c r="L27" s="287"/>
    </row>
    <row r="28" spans="1:12" ht="13.6" thickBot="1">
      <c r="A28" s="1412"/>
      <c r="B28" s="1412"/>
      <c r="C28" s="609">
        <v>24</v>
      </c>
      <c r="D28" s="1412"/>
      <c r="E28" s="1412"/>
      <c r="L28" s="287"/>
    </row>
    <row r="29" spans="1:12" ht="13.6" thickBot="1">
      <c r="A29" s="1410" t="s">
        <v>630</v>
      </c>
      <c r="B29" s="1410" t="s">
        <v>632</v>
      </c>
      <c r="C29" s="609">
        <v>20</v>
      </c>
      <c r="D29" s="1410">
        <v>60</v>
      </c>
      <c r="E29" s="1410" t="s">
        <v>638</v>
      </c>
      <c r="L29" s="11"/>
    </row>
    <row r="30" spans="1:12" ht="13.6" thickBot="1">
      <c r="A30" s="1411"/>
      <c r="B30" s="1411"/>
      <c r="C30" s="609">
        <v>22</v>
      </c>
      <c r="D30" s="1411"/>
      <c r="E30" s="1411"/>
      <c r="L30" s="11"/>
    </row>
    <row r="31" spans="1:12" ht="13.6" thickBot="1">
      <c r="A31" s="1412"/>
      <c r="B31" s="1412"/>
      <c r="C31" s="609">
        <v>24</v>
      </c>
      <c r="D31" s="1412"/>
      <c r="E31" s="1412"/>
      <c r="L31" s="11"/>
    </row>
    <row r="32" spans="1:12" ht="13.6" thickBot="1">
      <c r="A32" s="1410" t="s">
        <v>633</v>
      </c>
      <c r="B32" s="1410" t="s">
        <v>634</v>
      </c>
      <c r="C32" s="609">
        <v>16</v>
      </c>
      <c r="D32" s="1410">
        <v>74</v>
      </c>
      <c r="E32" s="1410">
        <v>74</v>
      </c>
      <c r="L32" s="11"/>
    </row>
    <row r="33" spans="1:12" ht="13.6" thickBot="1">
      <c r="A33" s="1411"/>
      <c r="B33" s="1411"/>
      <c r="C33" s="609">
        <v>20</v>
      </c>
      <c r="D33" s="1411"/>
      <c r="E33" s="1411"/>
      <c r="L33" s="11"/>
    </row>
    <row r="34" spans="1:12" ht="13.6" thickBot="1">
      <c r="A34" s="1412"/>
      <c r="B34" s="1412"/>
      <c r="C34" s="609">
        <v>24</v>
      </c>
      <c r="D34" s="1412"/>
      <c r="E34" s="1412"/>
      <c r="L34" s="11"/>
    </row>
    <row r="35" spans="1:12">
      <c r="L35" s="11"/>
    </row>
  </sheetData>
  <mergeCells count="42">
    <mergeCell ref="A26:A28"/>
    <mergeCell ref="B26:B28"/>
    <mergeCell ref="D26:D28"/>
    <mergeCell ref="A17:A19"/>
    <mergeCell ref="B17:B19"/>
    <mergeCell ref="D17:D19"/>
    <mergeCell ref="A20:A22"/>
    <mergeCell ref="B20:B22"/>
    <mergeCell ref="D20:D22"/>
    <mergeCell ref="A29:A31"/>
    <mergeCell ref="B29:B31"/>
    <mergeCell ref="D29:D31"/>
    <mergeCell ref="A32:A34"/>
    <mergeCell ref="B32:B34"/>
    <mergeCell ref="D32:D34"/>
    <mergeCell ref="E26:E28"/>
    <mergeCell ref="E29:E31"/>
    <mergeCell ref="E32:E34"/>
    <mergeCell ref="E11:E13"/>
    <mergeCell ref="E14:E16"/>
    <mergeCell ref="E17:E19"/>
    <mergeCell ref="E20:E22"/>
    <mergeCell ref="K25:L25"/>
    <mergeCell ref="A4:K4"/>
    <mergeCell ref="A2:K2"/>
    <mergeCell ref="E23:E25"/>
    <mergeCell ref="A23:A25"/>
    <mergeCell ref="B23:B25"/>
    <mergeCell ref="D23:D25"/>
    <mergeCell ref="A11:A13"/>
    <mergeCell ref="B11:B13"/>
    <mergeCell ref="D11:D13"/>
    <mergeCell ref="G11:G15"/>
    <mergeCell ref="G16:G22"/>
    <mergeCell ref="G9:K9"/>
    <mergeCell ref="A1:K1"/>
    <mergeCell ref="A6:K6"/>
    <mergeCell ref="A8:K8"/>
    <mergeCell ref="A9:E9"/>
    <mergeCell ref="A14:A16"/>
    <mergeCell ref="B14:B16"/>
    <mergeCell ref="D14:D16"/>
  </mergeCells>
  <phoneticPr fontId="2" type="noConversion"/>
  <hyperlinks>
    <hyperlink ref="L1" location="'M3'!A1" display="MENU"/>
  </hyperlinks>
  <pageMargins left="0.78740157499999996" right="0.78740157499999996" top="0.984251969" bottom="0.984251969" header="0.4921259845" footer="0.4921259845"/>
  <pageSetup paperSize="9" orientation="portrait" horizontalDpi="4294967293"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Z98"/>
  <sheetViews>
    <sheetView workbookViewId="0">
      <selection activeCell="A20" sqref="A20:C20"/>
    </sheetView>
  </sheetViews>
  <sheetFormatPr baseColWidth="10" defaultRowHeight="12.9"/>
  <cols>
    <col min="1" max="1" width="32.875" customWidth="1"/>
    <col min="2" max="2" width="16.75" customWidth="1"/>
    <col min="3" max="3" width="13" customWidth="1"/>
    <col min="4" max="4" width="7.625" customWidth="1"/>
    <col min="5" max="5" width="7.75" customWidth="1"/>
    <col min="8" max="8" width="5.625" customWidth="1"/>
    <col min="10" max="10" width="4.625" customWidth="1"/>
    <col min="11" max="11" width="11.125" customWidth="1"/>
  </cols>
  <sheetData>
    <row r="1" spans="1:26" ht="18" customHeight="1" thickBot="1">
      <c r="A1" s="1420" t="s">
        <v>1086</v>
      </c>
      <c r="B1" s="1421"/>
      <c r="C1" s="1421"/>
      <c r="D1" s="1421"/>
      <c r="E1" s="1421"/>
      <c r="F1" s="1422"/>
      <c r="G1" s="1422"/>
      <c r="H1" s="1422"/>
      <c r="I1" s="1422"/>
      <c r="J1" s="1422"/>
    </row>
    <row r="2" spans="1:26" ht="18" customHeight="1">
      <c r="A2" s="62" t="s">
        <v>1080</v>
      </c>
      <c r="B2" s="63" t="s">
        <v>498</v>
      </c>
      <c r="C2" s="464">
        <v>23</v>
      </c>
    </row>
    <row r="3" spans="1:26" ht="18" customHeight="1">
      <c r="A3" s="62" t="s">
        <v>1081</v>
      </c>
      <c r="B3" s="63" t="s">
        <v>499</v>
      </c>
      <c r="C3" s="465">
        <v>8</v>
      </c>
    </row>
    <row r="4" spans="1:26" ht="18" customHeight="1" thickBot="1">
      <c r="A4" s="62" t="s">
        <v>1082</v>
      </c>
      <c r="B4" s="64" t="s">
        <v>951</v>
      </c>
      <c r="C4" s="466">
        <v>31.5</v>
      </c>
    </row>
    <row r="5" spans="1:26" ht="18" customHeight="1">
      <c r="A5" s="65" t="s">
        <v>1083</v>
      </c>
      <c r="B5" s="66" t="s">
        <v>500</v>
      </c>
      <c r="C5" s="160">
        <f>C2/((C53*C55)+C56)</f>
        <v>15.212808272649355</v>
      </c>
    </row>
    <row r="8" spans="1:26" ht="14.3">
      <c r="A8" s="3" t="s">
        <v>514</v>
      </c>
      <c r="B8" s="437" t="s">
        <v>513</v>
      </c>
      <c r="C8" s="463">
        <v>39.15</v>
      </c>
      <c r="I8" s="76" t="s">
        <v>1084</v>
      </c>
      <c r="J8" s="176"/>
    </row>
    <row r="9" spans="1:26" ht="14.3">
      <c r="A9" s="3" t="s">
        <v>495</v>
      </c>
      <c r="B9" s="31" t="s">
        <v>969</v>
      </c>
      <c r="C9" s="460">
        <v>141</v>
      </c>
      <c r="I9" s="76" t="s">
        <v>1085</v>
      </c>
      <c r="J9" s="9"/>
    </row>
    <row r="10" spans="1:26" ht="14.3">
      <c r="A10" s="3" t="s">
        <v>496</v>
      </c>
      <c r="B10" s="31" t="s">
        <v>969</v>
      </c>
      <c r="C10" s="460">
        <v>85</v>
      </c>
      <c r="Z10" s="77">
        <f>(2.38-($C9/250))*(1+($C8/(12*$C9)))</f>
        <v>1.8580191489361702</v>
      </c>
    </row>
    <row r="11" spans="1:26" ht="21.1">
      <c r="A11" s="369" t="s">
        <v>497</v>
      </c>
      <c r="B11" s="262" t="s">
        <v>1110</v>
      </c>
      <c r="C11" s="77">
        <f>C8/C9/C10*1000</f>
        <v>3.2665832290362951</v>
      </c>
      <c r="Z11" s="77">
        <f>(2.38-($C9/250))*(1+($C8/(6*$C9)))</f>
        <v>1.9000382978723402</v>
      </c>
    </row>
    <row r="12" spans="1:26">
      <c r="C12" s="1"/>
    </row>
    <row r="13" spans="1:26" ht="18.7" customHeight="1">
      <c r="A13" s="407" t="s">
        <v>501</v>
      </c>
      <c r="B13" s="31" t="s">
        <v>436</v>
      </c>
      <c r="C13" s="461">
        <f>C5</f>
        <v>15.212808272649355</v>
      </c>
      <c r="I13" s="375">
        <f>I16</f>
        <v>3.2665832290362951</v>
      </c>
      <c r="J13" s="376" t="str">
        <f>IF(I13&lt;K13,"&lt;","&gt;")</f>
        <v>&lt;</v>
      </c>
      <c r="K13" s="377">
        <f>I17</f>
        <v>10.953221956307535</v>
      </c>
      <c r="L13" t="s">
        <v>444</v>
      </c>
    </row>
    <row r="14" spans="1:26" ht="18.350000000000001">
      <c r="A14" s="367" t="s">
        <v>434</v>
      </c>
      <c r="B14" s="31"/>
      <c r="C14" s="460">
        <v>0.9</v>
      </c>
    </row>
    <row r="15" spans="1:26" ht="19.05" thickBot="1">
      <c r="A15" s="368" t="s">
        <v>435</v>
      </c>
      <c r="B15" s="31"/>
      <c r="C15" s="460">
        <v>1.25</v>
      </c>
    </row>
    <row r="16" spans="1:26" ht="21.1">
      <c r="A16" s="372" t="s">
        <v>502</v>
      </c>
      <c r="B16" s="47" t="s">
        <v>1110</v>
      </c>
      <c r="C16" s="371">
        <f>C13*C14/C15</f>
        <v>10.953221956307535</v>
      </c>
      <c r="I16" s="373">
        <f>C11</f>
        <v>3.2665832290362951</v>
      </c>
      <c r="K16" s="1423">
        <f>C11/C16</f>
        <v>0.29823035103887369</v>
      </c>
    </row>
    <row r="17" spans="1:11" ht="16.3" thickBot="1">
      <c r="A17" s="408"/>
      <c r="B17" s="122"/>
      <c r="C17" s="409"/>
      <c r="I17" s="160">
        <f>C16</f>
        <v>10.953221956307535</v>
      </c>
      <c r="K17" s="1424"/>
    </row>
    <row r="18" spans="1:11">
      <c r="I18" s="374" t="s">
        <v>444</v>
      </c>
    </row>
    <row r="19" spans="1:11" ht="13.6" thickBot="1">
      <c r="B19" s="1"/>
    </row>
    <row r="20" spans="1:11" ht="13.6" thickBot="1">
      <c r="A20" s="1417" t="s">
        <v>1142</v>
      </c>
      <c r="B20" s="1418"/>
      <c r="C20" s="1419"/>
    </row>
    <row r="21" spans="1:11">
      <c r="A21" t="s">
        <v>437</v>
      </c>
      <c r="B21" s="1"/>
    </row>
    <row r="22" spans="1:11">
      <c r="B22" s="511"/>
    </row>
    <row r="23" spans="1:11" ht="13.6" thickBot="1">
      <c r="B23" s="1"/>
    </row>
    <row r="24" spans="1:11" ht="13.6" thickBot="1">
      <c r="A24" s="406"/>
      <c r="B24" s="1"/>
    </row>
    <row r="25" spans="1:11">
      <c r="B25" s="1"/>
    </row>
    <row r="42" ht="14.95" customHeight="1"/>
    <row r="53" spans="2:3">
      <c r="B53" s="1" t="s">
        <v>493</v>
      </c>
      <c r="C53">
        <f>C2/C3</f>
        <v>2.875</v>
      </c>
    </row>
    <row r="54" spans="2:3">
      <c r="B54" s="1" t="s">
        <v>494</v>
      </c>
      <c r="C54">
        <f>C4/360*2*PI()</f>
        <v>0.5497787143782138</v>
      </c>
    </row>
    <row r="55" spans="2:3">
      <c r="B55" s="1" t="s">
        <v>995</v>
      </c>
      <c r="C55">
        <f>(SIN(C54))^2</f>
        <v>0.27300475013022651</v>
      </c>
    </row>
    <row r="56" spans="2:3">
      <c r="B56" s="1" t="s">
        <v>994</v>
      </c>
      <c r="C56">
        <f>(COS(C54))^2</f>
        <v>0.72699524986977337</v>
      </c>
    </row>
    <row r="76" spans="1:11">
      <c r="E76" s="1">
        <v>18</v>
      </c>
      <c r="F76" s="1">
        <v>22</v>
      </c>
      <c r="G76" s="1">
        <v>30</v>
      </c>
      <c r="H76" s="68">
        <v>24</v>
      </c>
      <c r="I76" s="67">
        <v>26.5</v>
      </c>
      <c r="J76" s="67">
        <v>29</v>
      </c>
    </row>
    <row r="77" spans="1:11">
      <c r="E77" s="1">
        <v>4.8</v>
      </c>
      <c r="F77">
        <v>5.0999999999999996</v>
      </c>
      <c r="G77">
        <v>5.7</v>
      </c>
      <c r="H77" s="68">
        <v>2.7</v>
      </c>
      <c r="I77" s="67">
        <v>3</v>
      </c>
      <c r="J77" s="67">
        <v>3.3</v>
      </c>
      <c r="K77" s="69"/>
    </row>
    <row r="78" spans="1:11">
      <c r="E78" s="1">
        <f t="shared" ref="E78:J78" si="0">E76/E77</f>
        <v>3.75</v>
      </c>
      <c r="F78" s="1">
        <f t="shared" si="0"/>
        <v>4.3137254901960791</v>
      </c>
      <c r="G78" s="1">
        <f t="shared" si="0"/>
        <v>5.2631578947368416</v>
      </c>
      <c r="H78" s="1">
        <f t="shared" si="0"/>
        <v>8.8888888888888875</v>
      </c>
      <c r="I78" s="1">
        <f t="shared" si="0"/>
        <v>8.8333333333333339</v>
      </c>
      <c r="J78" s="1">
        <f t="shared" si="0"/>
        <v>8.787878787878789</v>
      </c>
      <c r="K78" s="69"/>
    </row>
    <row r="79" spans="1:11">
      <c r="A79" s="1">
        <v>0</v>
      </c>
      <c r="B79" s="70">
        <f>(A79/360)*2*PI()</f>
        <v>0</v>
      </c>
      <c r="C79" s="70">
        <f>(SIN(B79))^2</f>
        <v>0</v>
      </c>
      <c r="D79" s="70">
        <f>(COS(B79))^2</f>
        <v>1</v>
      </c>
      <c r="E79" s="15">
        <f t="shared" ref="E79:J94" si="1">E$76/(E$78*$C79+$D79)</f>
        <v>18</v>
      </c>
      <c r="F79" s="15">
        <f t="shared" si="1"/>
        <v>22</v>
      </c>
      <c r="G79" s="15">
        <f t="shared" si="1"/>
        <v>30</v>
      </c>
      <c r="H79" s="15">
        <f t="shared" si="1"/>
        <v>24</v>
      </c>
      <c r="I79" s="15">
        <f t="shared" si="1"/>
        <v>26.5</v>
      </c>
      <c r="J79" s="15">
        <f t="shared" si="1"/>
        <v>29</v>
      </c>
    </row>
    <row r="80" spans="1:11">
      <c r="A80" s="1">
        <f>A79+5</f>
        <v>5</v>
      </c>
      <c r="B80" s="70">
        <f t="shared" ref="B80:B97" si="2">(A80/360)*2*PI()</f>
        <v>8.7266462599716474E-2</v>
      </c>
      <c r="C80" s="70">
        <f t="shared" ref="C80:C97" si="3">(SIN(B80))^2</f>
        <v>7.596123493895969E-3</v>
      </c>
      <c r="D80" s="70">
        <f t="shared" ref="D80:D97" si="4">(COS(B80))^2</f>
        <v>0.99240387650610407</v>
      </c>
      <c r="E80" s="15">
        <f t="shared" si="1"/>
        <v>17.631685728942813</v>
      </c>
      <c r="F80" s="15">
        <f t="shared" si="1"/>
        <v>21.459824708037367</v>
      </c>
      <c r="G80" s="15">
        <f t="shared" si="1"/>
        <v>29.058969617504484</v>
      </c>
      <c r="H80" s="15">
        <f t="shared" si="1"/>
        <v>22.643112091441864</v>
      </c>
      <c r="I80" s="15">
        <f t="shared" si="1"/>
        <v>25.011727966944314</v>
      </c>
      <c r="J80" s="15">
        <f t="shared" si="1"/>
        <v>27.380247814286815</v>
      </c>
    </row>
    <row r="81" spans="1:10">
      <c r="A81" s="1">
        <f t="shared" ref="A81:A97" si="5">A80+5</f>
        <v>10</v>
      </c>
      <c r="B81" s="70">
        <f t="shared" si="2"/>
        <v>0.17453292519943295</v>
      </c>
      <c r="C81" s="70">
        <f t="shared" si="3"/>
        <v>3.0153689607045803E-2</v>
      </c>
      <c r="D81" s="70">
        <f t="shared" si="4"/>
        <v>0.9698463103929541</v>
      </c>
      <c r="E81" s="15">
        <f t="shared" si="1"/>
        <v>16.621685823559059</v>
      </c>
      <c r="F81" s="15">
        <f t="shared" si="1"/>
        <v>20.001435559864607</v>
      </c>
      <c r="G81" s="15">
        <f t="shared" si="1"/>
        <v>26.582784632959484</v>
      </c>
      <c r="H81" s="15">
        <f t="shared" si="1"/>
        <v>19.387999899361947</v>
      </c>
      <c r="I81" s="15">
        <f t="shared" si="1"/>
        <v>21.43659307239032</v>
      </c>
      <c r="J81" s="15">
        <f t="shared" si="1"/>
        <v>23.48495175625705</v>
      </c>
    </row>
    <row r="82" spans="1:10">
      <c r="A82" s="1">
        <f t="shared" si="5"/>
        <v>15</v>
      </c>
      <c r="B82" s="70">
        <f t="shared" si="2"/>
        <v>0.26179938779914941</v>
      </c>
      <c r="C82" s="70">
        <f t="shared" si="3"/>
        <v>6.698729810778066E-2</v>
      </c>
      <c r="D82" s="70">
        <f t="shared" si="4"/>
        <v>0.93301270189221941</v>
      </c>
      <c r="E82" s="15">
        <f t="shared" si="1"/>
        <v>15.199941682125997</v>
      </c>
      <c r="F82" s="15">
        <f t="shared" si="1"/>
        <v>18.003604558409378</v>
      </c>
      <c r="G82" s="15">
        <f t="shared" si="1"/>
        <v>23.335817297741411</v>
      </c>
      <c r="H82" s="15">
        <f t="shared" si="1"/>
        <v>15.702126969356033</v>
      </c>
      <c r="I82" s="15">
        <f t="shared" si="1"/>
        <v>17.380082601048223</v>
      </c>
      <c r="J82" s="15">
        <f t="shared" si="1"/>
        <v>19.057771200685458</v>
      </c>
    </row>
    <row r="83" spans="1:10">
      <c r="A83" s="1">
        <f t="shared" si="5"/>
        <v>20</v>
      </c>
      <c r="B83" s="70">
        <f t="shared" si="2"/>
        <v>0.3490658503988659</v>
      </c>
      <c r="C83" s="70">
        <f t="shared" si="3"/>
        <v>0.11697777844051097</v>
      </c>
      <c r="D83" s="70">
        <f t="shared" si="4"/>
        <v>0.88302222155948906</v>
      </c>
      <c r="E83" s="15">
        <f t="shared" si="1"/>
        <v>13.618938712809653</v>
      </c>
      <c r="F83" s="15">
        <f t="shared" si="1"/>
        <v>15.854344737353808</v>
      </c>
      <c r="G83" s="15">
        <f t="shared" si="1"/>
        <v>20.017418628330518</v>
      </c>
      <c r="H83" s="15">
        <f t="shared" si="1"/>
        <v>12.481637063747492</v>
      </c>
      <c r="I83" s="15">
        <f t="shared" si="1"/>
        <v>13.828545327124424</v>
      </c>
      <c r="J83" s="15">
        <f t="shared" si="1"/>
        <v>15.175231331519269</v>
      </c>
    </row>
    <row r="84" spans="1:10">
      <c r="A84" s="1">
        <f t="shared" si="5"/>
        <v>25</v>
      </c>
      <c r="B84" s="70">
        <f t="shared" si="2"/>
        <v>0.43633231299858238</v>
      </c>
      <c r="C84" s="70">
        <f t="shared" si="3"/>
        <v>0.17860619515673035</v>
      </c>
      <c r="D84" s="70">
        <f t="shared" si="4"/>
        <v>0.82139380484326963</v>
      </c>
      <c r="E84" s="15">
        <f t="shared" si="1"/>
        <v>12.071082284694155</v>
      </c>
      <c r="F84" s="15">
        <f t="shared" si="1"/>
        <v>13.820381140932705</v>
      </c>
      <c r="G84" s="15">
        <f t="shared" si="1"/>
        <v>17.031651060652607</v>
      </c>
      <c r="H84" s="15">
        <f t="shared" si="1"/>
        <v>9.9626217853637922</v>
      </c>
      <c r="I84" s="15">
        <f t="shared" si="1"/>
        <v>11.045892355350398</v>
      </c>
      <c r="J84" s="15">
        <f t="shared" si="1"/>
        <v>12.129002065208001</v>
      </c>
    </row>
    <row r="85" spans="1:10">
      <c r="A85" s="1">
        <f t="shared" si="5"/>
        <v>30</v>
      </c>
      <c r="B85" s="70">
        <f t="shared" si="2"/>
        <v>0.52359877559829882</v>
      </c>
      <c r="C85" s="70">
        <f t="shared" si="3"/>
        <v>0.24999999999999994</v>
      </c>
      <c r="D85" s="70">
        <f t="shared" si="4"/>
        <v>0.75000000000000011</v>
      </c>
      <c r="E85" s="15">
        <f t="shared" si="1"/>
        <v>10.666666666666666</v>
      </c>
      <c r="F85" s="15">
        <f t="shared" si="1"/>
        <v>12.032171581769436</v>
      </c>
      <c r="G85" s="15">
        <f t="shared" si="1"/>
        <v>14.522292993630575</v>
      </c>
      <c r="H85" s="15">
        <f t="shared" si="1"/>
        <v>8.0747663551401896</v>
      </c>
      <c r="I85" s="15">
        <f t="shared" si="1"/>
        <v>8.9577464788732399</v>
      </c>
      <c r="J85" s="15">
        <f t="shared" si="1"/>
        <v>9.8406169665809777</v>
      </c>
    </row>
    <row r="86" spans="1:10">
      <c r="A86" s="1">
        <f t="shared" si="5"/>
        <v>35</v>
      </c>
      <c r="B86" s="70">
        <f t="shared" si="2"/>
        <v>0.6108652381980153</v>
      </c>
      <c r="C86" s="70">
        <f t="shared" si="3"/>
        <v>0.32898992833716556</v>
      </c>
      <c r="D86" s="70">
        <f t="shared" si="4"/>
        <v>0.67101007166283433</v>
      </c>
      <c r="E86" s="15">
        <f t="shared" si="1"/>
        <v>9.4501964786873849</v>
      </c>
      <c r="F86" s="15">
        <f t="shared" si="1"/>
        <v>10.52539765476241</v>
      </c>
      <c r="G86" s="15">
        <f t="shared" si="1"/>
        <v>12.486805555314028</v>
      </c>
      <c r="H86" s="15">
        <f t="shared" si="1"/>
        <v>6.6752610834545729</v>
      </c>
      <c r="I86" s="15">
        <f t="shared" si="1"/>
        <v>7.4082610462120861</v>
      </c>
      <c r="J86" s="15">
        <f t="shared" si="1"/>
        <v>8.1411879985389781</v>
      </c>
    </row>
    <row r="87" spans="1:10">
      <c r="A87" s="1">
        <f t="shared" si="5"/>
        <v>40</v>
      </c>
      <c r="B87" s="70">
        <f t="shared" si="2"/>
        <v>0.69813170079773179</v>
      </c>
      <c r="C87" s="70">
        <f t="shared" si="3"/>
        <v>0.41317591116653474</v>
      </c>
      <c r="D87" s="70">
        <f t="shared" si="4"/>
        <v>0.58682408883346515</v>
      </c>
      <c r="E87" s="15">
        <f t="shared" si="1"/>
        <v>8.426044177939044</v>
      </c>
      <c r="F87" s="15">
        <f t="shared" si="1"/>
        <v>9.2860247844612065</v>
      </c>
      <c r="G87" s="15">
        <f t="shared" si="1"/>
        <v>10.863920121369667</v>
      </c>
      <c r="H87" s="15">
        <f t="shared" si="1"/>
        <v>5.6344656539090243</v>
      </c>
      <c r="I87" s="15">
        <f t="shared" si="1"/>
        <v>6.2550975541751779</v>
      </c>
      <c r="J87" s="15">
        <f t="shared" si="1"/>
        <v>6.8756811878719475</v>
      </c>
    </row>
    <row r="88" spans="1:10">
      <c r="A88" s="1">
        <f t="shared" si="5"/>
        <v>45</v>
      </c>
      <c r="B88" s="70">
        <f t="shared" si="2"/>
        <v>0.78539816339744828</v>
      </c>
      <c r="C88" s="70">
        <f t="shared" si="3"/>
        <v>0.49999999999999989</v>
      </c>
      <c r="D88" s="70">
        <f t="shared" si="4"/>
        <v>0.50000000000000011</v>
      </c>
      <c r="E88" s="15">
        <f t="shared" si="1"/>
        <v>7.578947368421054</v>
      </c>
      <c r="F88" s="15">
        <f t="shared" si="1"/>
        <v>8.2804428044280449</v>
      </c>
      <c r="G88" s="15">
        <f t="shared" si="1"/>
        <v>9.5798319327731107</v>
      </c>
      <c r="H88" s="15">
        <f t="shared" si="1"/>
        <v>4.8539325842696641</v>
      </c>
      <c r="I88" s="15">
        <f t="shared" si="1"/>
        <v>5.389830508474577</v>
      </c>
      <c r="J88" s="15">
        <f t="shared" si="1"/>
        <v>5.9256965944272446</v>
      </c>
    </row>
    <row r="89" spans="1:10">
      <c r="A89" s="1">
        <f t="shared" si="5"/>
        <v>50</v>
      </c>
      <c r="B89" s="70">
        <f t="shared" si="2"/>
        <v>0.87266462599716477</v>
      </c>
      <c r="C89" s="70">
        <f t="shared" si="3"/>
        <v>0.58682408883346515</v>
      </c>
      <c r="D89" s="70">
        <f t="shared" si="4"/>
        <v>0.41317591116653485</v>
      </c>
      <c r="E89" s="15">
        <f t="shared" si="1"/>
        <v>6.8866143019899324</v>
      </c>
      <c r="F89" s="15">
        <f t="shared" si="1"/>
        <v>7.4713695215705247</v>
      </c>
      <c r="G89" s="15">
        <f t="shared" si="1"/>
        <v>8.5672092279036995</v>
      </c>
      <c r="H89" s="15">
        <f t="shared" si="1"/>
        <v>4.2633393412944169</v>
      </c>
      <c r="I89" s="15">
        <f t="shared" si="1"/>
        <v>4.7348580480789204</v>
      </c>
      <c r="J89" s="15">
        <f t="shared" si="1"/>
        <v>5.2063558217132702</v>
      </c>
    </row>
    <row r="90" spans="1:10">
      <c r="A90" s="1">
        <f t="shared" si="5"/>
        <v>55</v>
      </c>
      <c r="B90" s="70">
        <f t="shared" si="2"/>
        <v>0.95993108859688125</v>
      </c>
      <c r="C90" s="70">
        <f t="shared" si="3"/>
        <v>0.67101007166283433</v>
      </c>
      <c r="D90" s="70">
        <f t="shared" si="4"/>
        <v>0.32898992833716573</v>
      </c>
      <c r="E90" s="15">
        <f t="shared" si="1"/>
        <v>6.3262717795589154</v>
      </c>
      <c r="F90" s="15">
        <f t="shared" si="1"/>
        <v>6.8247883712949031</v>
      </c>
      <c r="G90" s="15">
        <f t="shared" si="1"/>
        <v>7.7707687771181035</v>
      </c>
      <c r="H90" s="15">
        <f t="shared" si="1"/>
        <v>3.813443849010989</v>
      </c>
      <c r="I90" s="15">
        <f t="shared" si="1"/>
        <v>4.2357672409271849</v>
      </c>
      <c r="J90" s="15">
        <f t="shared" si="1"/>
        <v>4.6580769879955115</v>
      </c>
    </row>
    <row r="91" spans="1:10">
      <c r="A91" s="1">
        <f t="shared" si="5"/>
        <v>60</v>
      </c>
      <c r="B91" s="70">
        <f t="shared" si="2"/>
        <v>1.0471975511965976</v>
      </c>
      <c r="C91" s="70">
        <f t="shared" si="3"/>
        <v>0.74999999999999989</v>
      </c>
      <c r="D91" s="70">
        <f t="shared" si="4"/>
        <v>0.25000000000000011</v>
      </c>
      <c r="E91" s="15">
        <f t="shared" si="1"/>
        <v>5.8775510204081645</v>
      </c>
      <c r="F91" s="15">
        <f t="shared" si="1"/>
        <v>6.3122362869198314</v>
      </c>
      <c r="G91" s="15">
        <f t="shared" si="1"/>
        <v>7.147335423197493</v>
      </c>
      <c r="H91" s="15">
        <f t="shared" si="1"/>
        <v>3.4698795180722906</v>
      </c>
      <c r="I91" s="15">
        <f t="shared" si="1"/>
        <v>3.8545454545454549</v>
      </c>
      <c r="J91" s="15">
        <f t="shared" si="1"/>
        <v>4.2392026578073088</v>
      </c>
    </row>
    <row r="92" spans="1:10">
      <c r="A92" s="1">
        <f t="shared" si="5"/>
        <v>65</v>
      </c>
      <c r="B92" s="70">
        <f t="shared" si="2"/>
        <v>1.1344640137963142</v>
      </c>
      <c r="C92" s="70">
        <f t="shared" si="3"/>
        <v>0.82139380484326963</v>
      </c>
      <c r="D92" s="70">
        <f t="shared" si="4"/>
        <v>0.17860619515673035</v>
      </c>
      <c r="E92" s="15">
        <f t="shared" si="1"/>
        <v>5.5234497142399466</v>
      </c>
      <c r="F92" s="15">
        <f t="shared" si="1"/>
        <v>5.9110014019271224</v>
      </c>
      <c r="G92" s="15">
        <f t="shared" si="1"/>
        <v>6.6641024921014713</v>
      </c>
      <c r="H92" s="15">
        <f t="shared" si="1"/>
        <v>3.2086057113533997</v>
      </c>
      <c r="I92" s="15">
        <f t="shared" si="1"/>
        <v>3.5645821374757527</v>
      </c>
      <c r="J92" s="15">
        <f t="shared" si="1"/>
        <v>3.9205531595249656</v>
      </c>
    </row>
    <row r="93" spans="1:10">
      <c r="A93" s="1">
        <f t="shared" si="5"/>
        <v>70</v>
      </c>
      <c r="B93" s="70">
        <f t="shared" si="2"/>
        <v>1.2217304763960306</v>
      </c>
      <c r="C93" s="70">
        <f t="shared" si="3"/>
        <v>0.88302222155948884</v>
      </c>
      <c r="D93" s="70">
        <f t="shared" si="4"/>
        <v>0.11697777844051105</v>
      </c>
      <c r="E93" s="15">
        <f t="shared" si="1"/>
        <v>5.2503986441694801</v>
      </c>
      <c r="F93" s="15">
        <f t="shared" si="1"/>
        <v>5.6035347692442734</v>
      </c>
      <c r="G93" s="15">
        <f t="shared" si="1"/>
        <v>6.2966170633683944</v>
      </c>
      <c r="H93" s="15">
        <f t="shared" si="1"/>
        <v>3.0127801409371608</v>
      </c>
      <c r="I93" s="15">
        <f t="shared" si="1"/>
        <v>3.3472243555794283</v>
      </c>
      <c r="J93" s="15">
        <f t="shared" si="1"/>
        <v>3.6816654197721088</v>
      </c>
    </row>
    <row r="94" spans="1:10">
      <c r="A94" s="1">
        <f t="shared" si="5"/>
        <v>75</v>
      </c>
      <c r="B94" s="70">
        <f t="shared" si="2"/>
        <v>1.3089969389957472</v>
      </c>
      <c r="C94" s="70">
        <f t="shared" si="3"/>
        <v>0.93301270189221941</v>
      </c>
      <c r="D94" s="70">
        <f t="shared" si="4"/>
        <v>6.698729810778066E-2</v>
      </c>
      <c r="E94" s="15">
        <f t="shared" si="1"/>
        <v>5.0479769117685436</v>
      </c>
      <c r="F94" s="15">
        <f t="shared" si="1"/>
        <v>5.3766752364781905</v>
      </c>
      <c r="G94" s="15">
        <f t="shared" si="1"/>
        <v>6.0270246167089576</v>
      </c>
      <c r="H94" s="15">
        <f t="shared" si="1"/>
        <v>2.8706645287419112</v>
      </c>
      <c r="I94" s="15">
        <f t="shared" si="1"/>
        <v>3.1894665287311379</v>
      </c>
      <c r="J94" s="15">
        <f t="shared" si="1"/>
        <v>3.5082668795174889</v>
      </c>
    </row>
    <row r="95" spans="1:10">
      <c r="A95" s="1">
        <f t="shared" si="5"/>
        <v>80</v>
      </c>
      <c r="B95" s="70">
        <f t="shared" si="2"/>
        <v>1.3962634015954636</v>
      </c>
      <c r="C95" s="70">
        <f t="shared" si="3"/>
        <v>0.9698463103929541</v>
      </c>
      <c r="D95" s="70">
        <f t="shared" si="4"/>
        <v>3.0153689607045831E-2</v>
      </c>
      <c r="E95" s="15">
        <f t="shared" ref="E95:J97" si="6">E$76/(E$78*$C95+$D95)</f>
        <v>4.9085411253799602</v>
      </c>
      <c r="F95" s="15">
        <f t="shared" si="6"/>
        <v>5.2209352169936398</v>
      </c>
      <c r="G95" s="15">
        <f t="shared" si="6"/>
        <v>5.8427050836006886</v>
      </c>
      <c r="H95" s="15">
        <f t="shared" si="6"/>
        <v>2.7742426150028496</v>
      </c>
      <c r="I95" s="15">
        <f t="shared" si="6"/>
        <v>3.0824242221102907</v>
      </c>
      <c r="J95" s="15">
        <f t="shared" si="6"/>
        <v>3.3906051326579574</v>
      </c>
    </row>
    <row r="96" spans="1:10">
      <c r="A96" s="1">
        <f t="shared" si="5"/>
        <v>85</v>
      </c>
      <c r="B96" s="70">
        <f t="shared" si="2"/>
        <v>1.48352986419518</v>
      </c>
      <c r="C96" s="70">
        <f t="shared" si="3"/>
        <v>0.99240387650610407</v>
      </c>
      <c r="D96" s="70">
        <f t="shared" si="4"/>
        <v>7.5961234938960029E-3</v>
      </c>
      <c r="E96" s="15">
        <f t="shared" si="6"/>
        <v>4.82688813479965</v>
      </c>
      <c r="F96" s="15">
        <f t="shared" si="6"/>
        <v>5.1299342124137555</v>
      </c>
      <c r="G96" s="15">
        <f t="shared" si="6"/>
        <v>5.7352884269228541</v>
      </c>
      <c r="H96" s="15">
        <f t="shared" si="6"/>
        <v>2.7183257550924345</v>
      </c>
      <c r="I96" s="15">
        <f t="shared" si="6"/>
        <v>3.0203456067260004</v>
      </c>
      <c r="J96" s="15">
        <f t="shared" si="6"/>
        <v>3.3223652894372844</v>
      </c>
    </row>
    <row r="97" spans="1:10">
      <c r="A97" s="1">
        <f t="shared" si="5"/>
        <v>90</v>
      </c>
      <c r="B97" s="70">
        <f t="shared" si="2"/>
        <v>1.5707963267948966</v>
      </c>
      <c r="C97" s="70">
        <f t="shared" si="3"/>
        <v>1</v>
      </c>
      <c r="D97" s="70">
        <f t="shared" si="4"/>
        <v>3.7524718414124473E-33</v>
      </c>
      <c r="E97" s="15">
        <f t="shared" si="6"/>
        <v>4.8</v>
      </c>
      <c r="F97" s="15">
        <f t="shared" si="6"/>
        <v>5.0999999999999996</v>
      </c>
      <c r="G97" s="15">
        <f t="shared" si="6"/>
        <v>5.7</v>
      </c>
      <c r="H97" s="15">
        <f t="shared" si="6"/>
        <v>2.7000000000000006</v>
      </c>
      <c r="I97" s="15">
        <f t="shared" si="6"/>
        <v>3</v>
      </c>
      <c r="J97" s="15">
        <f t="shared" si="6"/>
        <v>3.2999999999999994</v>
      </c>
    </row>
    <row r="98" spans="1:10">
      <c r="C98" s="15"/>
    </row>
  </sheetData>
  <mergeCells count="3">
    <mergeCell ref="A20:C20"/>
    <mergeCell ref="A1:J1"/>
    <mergeCell ref="K16:K17"/>
  </mergeCells>
  <phoneticPr fontId="2" type="noConversion"/>
  <hyperlinks>
    <hyperlink ref="A20" location="MENU!A1" display="RETOUR MENU"/>
    <hyperlink ref="A20:C20" location="'M2'!A1" display="RETOUR MENU"/>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oleObjects>
    <mc:AlternateContent xmlns:mc="http://schemas.openxmlformats.org/markup-compatibility/2006">
      <mc:Choice Requires="x14">
        <oleObject progId="Equation.3" shapeId="8194" r:id="rId4">
          <objectPr defaultSize="0" autoPict="0" r:id="rId5">
            <anchor moveWithCells="1" sizeWithCells="1">
              <from>
                <xdr:col>6</xdr:col>
                <xdr:colOff>681487</xdr:colOff>
                <xdr:row>1</xdr:row>
                <xdr:rowOff>43132</xdr:rowOff>
              </from>
              <to>
                <xdr:col>11</xdr:col>
                <xdr:colOff>258792</xdr:colOff>
                <xdr:row>5</xdr:row>
                <xdr:rowOff>51758</xdr:rowOff>
              </to>
            </anchor>
          </objectPr>
        </oleObject>
      </mc:Choice>
      <mc:Fallback>
        <oleObject progId="Equation.3" shapeId="8194" r:id="rId4"/>
      </mc:Fallback>
    </mc:AlternateContent>
    <mc:AlternateContent xmlns:mc="http://schemas.openxmlformats.org/markup-compatibility/2006">
      <mc:Choice Requires="x14">
        <oleObject progId="Equation.3" shapeId="8210" r:id="rId6">
          <objectPr defaultSize="0" autoPict="0" r:id="rId7">
            <anchor moveWithCells="1" sizeWithCells="1">
              <from>
                <xdr:col>4</xdr:col>
                <xdr:colOff>345057</xdr:colOff>
                <xdr:row>6</xdr:row>
                <xdr:rowOff>8626</xdr:rowOff>
              </from>
              <to>
                <xdr:col>7</xdr:col>
                <xdr:colOff>86264</xdr:colOff>
                <xdr:row>9</xdr:row>
                <xdr:rowOff>51758</xdr:rowOff>
              </to>
            </anchor>
          </objectPr>
        </oleObject>
      </mc:Choice>
      <mc:Fallback>
        <oleObject progId="Equation.3" shapeId="8210" r:id="rId6"/>
      </mc:Fallback>
    </mc:AlternateContent>
    <mc:AlternateContent xmlns:mc="http://schemas.openxmlformats.org/markup-compatibility/2006">
      <mc:Choice Requires="x14">
        <oleObject progId="Equation.3" shapeId="8218" r:id="rId8">
          <objectPr defaultSize="0" autoPict="0" r:id="rId9">
            <anchor moveWithCells="1" sizeWithCells="1">
              <from>
                <xdr:col>5</xdr:col>
                <xdr:colOff>77638</xdr:colOff>
                <xdr:row>14</xdr:row>
                <xdr:rowOff>94891</xdr:rowOff>
              </from>
              <to>
                <xdr:col>7</xdr:col>
                <xdr:colOff>0</xdr:colOff>
                <xdr:row>17</xdr:row>
                <xdr:rowOff>51758</xdr:rowOff>
              </to>
            </anchor>
          </objectPr>
        </oleObject>
      </mc:Choice>
      <mc:Fallback>
        <oleObject progId="Equation.3" shapeId="8218" r:id="rId8"/>
      </mc:Fallback>
    </mc:AlternateContent>
    <mc:AlternateContent xmlns:mc="http://schemas.openxmlformats.org/markup-compatibility/2006">
      <mc:Choice Requires="x14">
        <oleObject progId="Equation.3" shapeId="8219" r:id="rId10">
          <objectPr defaultSize="0" r:id="rId11">
            <anchor moveWithCells="1" sizeWithCells="1">
              <from>
                <xdr:col>4</xdr:col>
                <xdr:colOff>310551</xdr:colOff>
                <xdr:row>19</xdr:row>
                <xdr:rowOff>51758</xdr:rowOff>
              </from>
              <to>
                <xdr:col>6</xdr:col>
                <xdr:colOff>621102</xdr:colOff>
                <xdr:row>23</xdr:row>
                <xdr:rowOff>34506</xdr:rowOff>
              </to>
            </anchor>
          </objectPr>
        </oleObject>
      </mc:Choice>
      <mc:Fallback>
        <oleObject progId="Equation.3" shapeId="8219" r:id="rId10"/>
      </mc:Fallback>
    </mc:AlternateContent>
    <mc:AlternateContent xmlns:mc="http://schemas.openxmlformats.org/markup-compatibility/2006">
      <mc:Choice Requires="x14">
        <oleObject progId="Equation.3" shapeId="8223" r:id="rId12">
          <objectPr defaultSize="0" autoPict="0" r:id="rId13">
            <anchor moveWithCells="1" sizeWithCells="1">
              <from>
                <xdr:col>4</xdr:col>
                <xdr:colOff>414068</xdr:colOff>
                <xdr:row>11</xdr:row>
                <xdr:rowOff>34506</xdr:rowOff>
              </from>
              <to>
                <xdr:col>7</xdr:col>
                <xdr:colOff>310551</xdr:colOff>
                <xdr:row>13</xdr:row>
                <xdr:rowOff>51758</xdr:rowOff>
              </to>
            </anchor>
          </objectPr>
        </oleObject>
      </mc:Choice>
      <mc:Fallback>
        <oleObject progId="Equation.3" shapeId="8223" r:id="rId12"/>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dimension ref="A1:Z23"/>
  <sheetViews>
    <sheetView workbookViewId="0">
      <selection activeCell="A15" sqref="A15:C15"/>
    </sheetView>
  </sheetViews>
  <sheetFormatPr baseColWidth="10" defaultRowHeight="12.9"/>
  <cols>
    <col min="1" max="1" width="27.125" customWidth="1"/>
    <col min="2" max="2" width="7.875" customWidth="1"/>
  </cols>
  <sheetData>
    <row r="1" spans="1:26" ht="21.75" thickBot="1">
      <c r="A1" s="282" t="s">
        <v>132</v>
      </c>
      <c r="B1" s="283"/>
      <c r="C1" s="284"/>
      <c r="D1" s="284"/>
      <c r="E1" s="284"/>
      <c r="F1" s="285"/>
      <c r="P1">
        <f>INDEX(U1:U2,Q1,1)</f>
        <v>4.7938333333333336</v>
      </c>
      <c r="Q1">
        <v>2</v>
      </c>
      <c r="R1" s="1111" t="s">
        <v>1073</v>
      </c>
      <c r="T1">
        <v>1.5</v>
      </c>
      <c r="U1">
        <f>IF($D$2&lt;200,(2.38-($D$3/250))*(1+$D$2/(12*$D$3)),T1)</f>
        <v>4.7938333333333336</v>
      </c>
      <c r="V1">
        <f>IF($D$2&lt;200,(2.38-($D$3/250))*(1+$D$2/(6*$D$3)),T1)</f>
        <v>7.2396666666666665</v>
      </c>
    </row>
    <row r="2" spans="1:26" ht="14.3">
      <c r="A2" s="104" t="s">
        <v>37</v>
      </c>
      <c r="C2" s="167" t="s">
        <v>969</v>
      </c>
      <c r="D2" s="467">
        <v>100</v>
      </c>
      <c r="P2">
        <f>INDEX(V1:V2,Q1,1)</f>
        <v>7.2396666666666665</v>
      </c>
      <c r="R2" s="1111" t="s">
        <v>1074</v>
      </c>
      <c r="T2">
        <v>1.75</v>
      </c>
      <c r="U2">
        <f>IF($D$2&lt;200,(2.38-($D$3/250))*(1+$D$2/(12*$D$3)),T2)</f>
        <v>4.7938333333333336</v>
      </c>
      <c r="V2">
        <f>IF($D$2&lt;200,(2.38-($D$3/250))*(1+$D$2/(6*$D$3)),T2)</f>
        <v>7.2396666666666665</v>
      </c>
    </row>
    <row r="3" spans="1:26" ht="14.3">
      <c r="A3" s="104" t="s">
        <v>38</v>
      </c>
      <c r="C3" s="167" t="s">
        <v>969</v>
      </c>
      <c r="D3" s="468">
        <v>8</v>
      </c>
    </row>
    <row r="4" spans="1:26" ht="21.75" customHeight="1">
      <c r="Z4" s="77">
        <f>(2.38-($D3/250))*(1+($D2/(12*$D3)))</f>
        <v>4.7938333333333336</v>
      </c>
    </row>
    <row r="5" spans="1:26" ht="21.1">
      <c r="A5" s="105" t="s">
        <v>39</v>
      </c>
      <c r="C5" s="106"/>
      <c r="D5" s="77">
        <f>IF(P1&gt;4,4,P1)</f>
        <v>4</v>
      </c>
      <c r="Z5" s="77">
        <f>(2.38-($D3/250))*(1+($D2/(6*$D3)))</f>
        <v>7.2396666666666665</v>
      </c>
    </row>
    <row r="6" spans="1:26" ht="21.1">
      <c r="A6" s="105" t="s">
        <v>101</v>
      </c>
      <c r="C6" s="67"/>
      <c r="D6" s="77">
        <f>IF(P2&gt;4,4,P2)</f>
        <v>4</v>
      </c>
    </row>
    <row r="7" spans="1:26">
      <c r="C7" s="1"/>
    </row>
    <row r="8" spans="1:26">
      <c r="C8" s="1"/>
    </row>
    <row r="9" spans="1:26">
      <c r="C9" s="1"/>
    </row>
    <row r="10" spans="1:26">
      <c r="C10" s="67" t="s">
        <v>1084</v>
      </c>
      <c r="D10" s="176"/>
    </row>
    <row r="11" spans="1:26">
      <c r="C11" s="67" t="s">
        <v>1085</v>
      </c>
      <c r="D11" s="9"/>
    </row>
    <row r="12" spans="1:26">
      <c r="B12" s="1"/>
    </row>
    <row r="13" spans="1:26">
      <c r="B13" s="1"/>
    </row>
    <row r="14" spans="1:26" ht="13.6" thickBot="1">
      <c r="B14" s="1"/>
    </row>
    <row r="15" spans="1:26" ht="13.6" thickBot="1">
      <c r="A15" s="1417" t="s">
        <v>1142</v>
      </c>
      <c r="B15" s="1418"/>
      <c r="C15" s="1419"/>
    </row>
    <row r="16" spans="1:26">
      <c r="B16" s="1"/>
    </row>
    <row r="17" spans="1:3" ht="13.6" thickBot="1">
      <c r="B17" s="1"/>
    </row>
    <row r="18" spans="1:3" ht="13.6" thickBot="1">
      <c r="A18" s="1425" t="s">
        <v>467</v>
      </c>
      <c r="B18" s="1426"/>
      <c r="C18" s="1427"/>
    </row>
    <row r="19" spans="1:3">
      <c r="B19" s="1"/>
    </row>
    <row r="20" spans="1:3">
      <c r="B20" s="1"/>
    </row>
    <row r="21" spans="1:3">
      <c r="B21" s="1"/>
    </row>
    <row r="22" spans="1:3">
      <c r="B22" s="1"/>
    </row>
    <row r="23" spans="1:3">
      <c r="B23" s="381"/>
    </row>
  </sheetData>
  <mergeCells count="2">
    <mergeCell ref="A15:C15"/>
    <mergeCell ref="A18:C18"/>
  </mergeCells>
  <phoneticPr fontId="2" type="noConversion"/>
  <hyperlinks>
    <hyperlink ref="A15" location="MENU!A1" display="RETOUR MENU"/>
    <hyperlink ref="A15:C15" location="'M1'!A1" display="RETOUR MENU"/>
    <hyperlink ref="A18" location="MENU!A1" display="RETOUR MENU"/>
    <hyperlink ref="A18:C18" location="'32'!A1" display="RETOUR COMPRESSION TRANSVERSALE"/>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2" r:id="rId4" name="Drop Down 12">
              <controlPr defaultSize="0" autoLine="0" autoPict="0">
                <anchor moveWithCells="1">
                  <from>
                    <xdr:col>0</xdr:col>
                    <xdr:colOff>0</xdr:colOff>
                    <xdr:row>3</xdr:row>
                    <xdr:rowOff>0</xdr:rowOff>
                  </from>
                  <to>
                    <xdr:col>1</xdr:col>
                    <xdr:colOff>0</xdr:colOff>
                    <xdr:row>4</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dimension ref="A1:BG68"/>
  <sheetViews>
    <sheetView workbookViewId="0">
      <selection activeCell="B23" sqref="B23:C23"/>
    </sheetView>
  </sheetViews>
  <sheetFormatPr baseColWidth="10" defaultRowHeight="12.9"/>
  <cols>
    <col min="1" max="1" width="23.375" customWidth="1"/>
    <col min="2" max="2" width="17.75" customWidth="1"/>
    <col min="3" max="3" width="17.125" customWidth="1"/>
    <col min="4" max="4" width="7" customWidth="1"/>
    <col min="5" max="6" width="6.625" customWidth="1"/>
    <col min="7" max="7" width="2.125" customWidth="1"/>
    <col min="8" max="13" width="6.625" customWidth="1"/>
    <col min="40" max="62" width="4.75" customWidth="1"/>
    <col min="63" max="64" width="4.625" customWidth="1"/>
  </cols>
  <sheetData>
    <row r="1" spans="1:59" ht="22.45">
      <c r="A1" s="1420" t="s">
        <v>1098</v>
      </c>
      <c r="B1" s="1421"/>
      <c r="C1" s="1421"/>
      <c r="D1" s="1421"/>
      <c r="E1" s="1421"/>
      <c r="F1" s="1422"/>
      <c r="G1" s="1422"/>
      <c r="H1" s="1422"/>
      <c r="I1" s="1422"/>
      <c r="J1" s="1422"/>
      <c r="K1" s="1254"/>
      <c r="L1" s="1254"/>
      <c r="M1" s="1254"/>
    </row>
    <row r="2" spans="1:59">
      <c r="B2" s="71" t="s">
        <v>1087</v>
      </c>
      <c r="C2" s="72" t="s">
        <v>1088</v>
      </c>
      <c r="D2" s="1"/>
    </row>
    <row r="3" spans="1:59" ht="14.3" thickBot="1">
      <c r="B3" s="161" t="s">
        <v>1089</v>
      </c>
      <c r="C3" s="162" t="s">
        <v>1090</v>
      </c>
      <c r="E3" s="73" t="s">
        <v>1091</v>
      </c>
      <c r="F3" s="74"/>
      <c r="H3" s="73" t="s">
        <v>1092</v>
      </c>
      <c r="I3" s="75"/>
      <c r="J3" s="75"/>
      <c r="K3" s="75"/>
      <c r="L3" s="75"/>
      <c r="M3" s="74"/>
    </row>
    <row r="4" spans="1:59" ht="21.1" customHeight="1" thickBot="1">
      <c r="A4" s="31" t="s">
        <v>472</v>
      </c>
      <c r="B4" s="481">
        <v>150</v>
      </c>
      <c r="C4" s="482">
        <v>250</v>
      </c>
      <c r="E4" s="76" t="s">
        <v>1093</v>
      </c>
      <c r="F4" s="76" t="s">
        <v>1094</v>
      </c>
      <c r="H4" s="76" t="s">
        <v>1093</v>
      </c>
      <c r="I4" s="76" t="s">
        <v>1094</v>
      </c>
      <c r="J4" s="76" t="s">
        <v>1093</v>
      </c>
      <c r="K4" s="76" t="s">
        <v>1094</v>
      </c>
      <c r="L4" s="76" t="s">
        <v>1093</v>
      </c>
      <c r="M4" s="76" t="s">
        <v>1094</v>
      </c>
    </row>
    <row r="5" spans="1:59" ht="17">
      <c r="A5" s="47" t="s">
        <v>1094</v>
      </c>
      <c r="B5" s="163">
        <f>IF(B4&gt;150,"1.00",MIN(1.3,(150/B4)^0.2))</f>
        <v>1</v>
      </c>
      <c r="C5" s="163">
        <f>IF(C4&gt;600,"1.00",MIN(1.11,(600/C4)^0.1))</f>
        <v>1.091493425617897</v>
      </c>
      <c r="E5" s="78">
        <v>150</v>
      </c>
      <c r="F5" s="79">
        <f t="shared" ref="F5:F27" si="0">MIN(1.3,(150/E5)^0.2)</f>
        <v>1</v>
      </c>
      <c r="H5" s="80">
        <v>600</v>
      </c>
      <c r="I5" s="79">
        <f>MIN(1.1,(600/H5)^0.1)</f>
        <v>1</v>
      </c>
      <c r="J5" s="80">
        <v>485</v>
      </c>
      <c r="K5" s="79">
        <f>MIN(1.1,(600/J5)^0.1)</f>
        <v>1.0215060689051298</v>
      </c>
      <c r="L5" s="80">
        <v>370</v>
      </c>
      <c r="M5" s="79">
        <f>MIN(1.1,(600/L5)^0.1)</f>
        <v>1.0495302309462535</v>
      </c>
      <c r="Z5">
        <v>150</v>
      </c>
      <c r="AA5">
        <v>1</v>
      </c>
      <c r="AQ5" s="2" t="s">
        <v>1095</v>
      </c>
    </row>
    <row r="6" spans="1:59" ht="13.6">
      <c r="E6" s="78">
        <v>145</v>
      </c>
      <c r="F6" s="79">
        <f t="shared" si="0"/>
        <v>1.006803348678863</v>
      </c>
      <c r="H6" s="80">
        <f>H5-5</f>
        <v>595</v>
      </c>
      <c r="I6" s="79">
        <f t="shared" ref="I6:I27" si="1">MIN(1.1,(600/H6)^0.1)</f>
        <v>1.0008371752027529</v>
      </c>
      <c r="J6" s="80">
        <f>J5-5</f>
        <v>480</v>
      </c>
      <c r="K6" s="79">
        <f t="shared" ref="K6:K27" si="2">MIN(1.1,(600/J6)^0.1)</f>
        <v>1.0225651825635729</v>
      </c>
      <c r="L6" s="80">
        <f>L5-5</f>
        <v>365</v>
      </c>
      <c r="M6" s="79">
        <f t="shared" ref="M6:M25" si="3">MIN(1.1,(600/L6)^0.1)</f>
        <v>1.0509591571138652</v>
      </c>
      <c r="Z6">
        <v>145</v>
      </c>
      <c r="AA6">
        <v>1.006803348678863</v>
      </c>
      <c r="AQ6" s="81" t="s">
        <v>978</v>
      </c>
      <c r="AR6" s="78">
        <v>150</v>
      </c>
      <c r="AS6" s="78">
        <v>145</v>
      </c>
      <c r="AT6" s="78">
        <v>140</v>
      </c>
      <c r="AU6" s="78">
        <v>135</v>
      </c>
      <c r="AV6" s="78">
        <v>130</v>
      </c>
      <c r="AW6" s="78">
        <v>125</v>
      </c>
      <c r="AX6" s="78">
        <v>120</v>
      </c>
      <c r="AY6" s="78">
        <v>115</v>
      </c>
      <c r="AZ6" s="78">
        <v>110</v>
      </c>
      <c r="BA6" s="78">
        <v>105</v>
      </c>
      <c r="BB6" s="78">
        <v>100</v>
      </c>
      <c r="BC6" s="78">
        <v>95</v>
      </c>
    </row>
    <row r="7" spans="1:59" ht="14.95">
      <c r="D7" s="15"/>
      <c r="E7" s="78">
        <v>140</v>
      </c>
      <c r="F7" s="79">
        <f t="shared" si="0"/>
        <v>1.0138942140146645</v>
      </c>
      <c r="H7" s="80">
        <f t="shared" ref="H7:H27" si="4">H6-5</f>
        <v>590</v>
      </c>
      <c r="I7" s="79">
        <f t="shared" si="1"/>
        <v>1.0016821250193781</v>
      </c>
      <c r="J7" s="80">
        <f t="shared" ref="J7:J27" si="5">J6-5</f>
        <v>475</v>
      </c>
      <c r="K7" s="79">
        <f t="shared" si="2"/>
        <v>1.0236365020371037</v>
      </c>
      <c r="L7" s="80">
        <f t="shared" ref="L7:L19" si="6">L6-5</f>
        <v>360</v>
      </c>
      <c r="M7" s="79">
        <f t="shared" si="3"/>
        <v>1.0524097791489255</v>
      </c>
      <c r="Z7">
        <v>140</v>
      </c>
      <c r="AA7">
        <v>1.0138942140146645</v>
      </c>
      <c r="AQ7" s="81" t="s">
        <v>1096</v>
      </c>
      <c r="AR7" s="79">
        <f t="shared" ref="AR7:BC7" si="7">MIN(1.3,(150/AR6)^0.2)</f>
        <v>1</v>
      </c>
      <c r="AS7" s="79">
        <f t="shared" si="7"/>
        <v>1.006803348678863</v>
      </c>
      <c r="AT7" s="79">
        <f t="shared" si="7"/>
        <v>1.0138942140146645</v>
      </c>
      <c r="AU7" s="79">
        <f t="shared" si="7"/>
        <v>1.0212956876001351</v>
      </c>
      <c r="AV7" s="79">
        <f t="shared" si="7"/>
        <v>1.0290336610711879</v>
      </c>
      <c r="AW7" s="79">
        <f t="shared" si="7"/>
        <v>1.0371372893366482</v>
      </c>
      <c r="AX7" s="79">
        <f t="shared" si="7"/>
        <v>1.0456395525912732</v>
      </c>
      <c r="AY7" s="79">
        <f t="shared" si="7"/>
        <v>1.0545779433057945</v>
      </c>
      <c r="AZ7" s="79">
        <f t="shared" si="7"/>
        <v>1.0639953128150836</v>
      </c>
      <c r="BA7" s="79">
        <f t="shared" si="7"/>
        <v>1.0739409237857793</v>
      </c>
      <c r="BB7" s="79">
        <f t="shared" si="7"/>
        <v>1.0844717711976986</v>
      </c>
      <c r="BC7" s="79">
        <f t="shared" si="7"/>
        <v>1.0956542577478539</v>
      </c>
    </row>
    <row r="8" spans="1:59" ht="13.6">
      <c r="B8" s="15"/>
      <c r="C8" s="15"/>
      <c r="D8" s="15"/>
      <c r="E8" s="78">
        <v>135</v>
      </c>
      <c r="F8" s="79">
        <f t="shared" si="0"/>
        <v>1.0212956876001351</v>
      </c>
      <c r="H8" s="80">
        <f t="shared" si="4"/>
        <v>585</v>
      </c>
      <c r="I8" s="79">
        <f t="shared" si="1"/>
        <v>1.002534988461897</v>
      </c>
      <c r="J8" s="80">
        <f t="shared" si="5"/>
        <v>470</v>
      </c>
      <c r="K8" s="79">
        <f t="shared" si="2"/>
        <v>1.0247202987166428</v>
      </c>
      <c r="L8" s="80">
        <f t="shared" si="6"/>
        <v>355</v>
      </c>
      <c r="M8" s="79">
        <f t="shared" si="3"/>
        <v>1.0538827347472621</v>
      </c>
      <c r="Z8">
        <v>135</v>
      </c>
      <c r="AA8">
        <v>1.0212956876001351</v>
      </c>
      <c r="AG8" s="80">
        <v>600</v>
      </c>
      <c r="AH8" s="79">
        <f>MIN(1.15,(600/AG8)^0.2)</f>
        <v>1</v>
      </c>
      <c r="AQ8" s="81" t="s">
        <v>978</v>
      </c>
      <c r="AR8" s="78">
        <v>90</v>
      </c>
      <c r="AS8" s="78">
        <v>85</v>
      </c>
      <c r="AT8" s="78">
        <v>80</v>
      </c>
      <c r="AU8" s="78">
        <v>75</v>
      </c>
      <c r="AV8" s="78">
        <v>70</v>
      </c>
      <c r="AW8" s="78">
        <v>65</v>
      </c>
      <c r="AX8" s="78">
        <v>60</v>
      </c>
      <c r="AY8" s="78">
        <v>55</v>
      </c>
      <c r="AZ8" s="78">
        <v>50</v>
      </c>
      <c r="BA8" s="78">
        <v>45</v>
      </c>
      <c r="BB8" s="78">
        <v>40</v>
      </c>
      <c r="BC8" s="78">
        <v>35</v>
      </c>
    </row>
    <row r="9" spans="1:59" ht="14.95">
      <c r="E9" s="78">
        <v>130</v>
      </c>
      <c r="F9" s="79">
        <f t="shared" si="0"/>
        <v>1.0290336610711879</v>
      </c>
      <c r="H9" s="80">
        <f t="shared" si="4"/>
        <v>580</v>
      </c>
      <c r="I9" s="79">
        <f t="shared" si="1"/>
        <v>1.0033959082430339</v>
      </c>
      <c r="J9" s="80">
        <f t="shared" si="5"/>
        <v>465</v>
      </c>
      <c r="K9" s="79">
        <f t="shared" si="2"/>
        <v>1.0258168529962246</v>
      </c>
      <c r="L9" s="80">
        <f t="shared" si="6"/>
        <v>350</v>
      </c>
      <c r="M9" s="79">
        <f t="shared" si="3"/>
        <v>1.0553786896668318</v>
      </c>
      <c r="Z9">
        <v>130</v>
      </c>
      <c r="AA9">
        <v>1.0290336610711879</v>
      </c>
      <c r="AG9" s="80">
        <f>AG8-5</f>
        <v>595</v>
      </c>
      <c r="AH9" s="79">
        <f t="shared" ref="AH9:AH68" si="8">MIN(1.15,(600/AG9)^0.2)</f>
        <v>1.0016750512678259</v>
      </c>
      <c r="AQ9" s="81" t="s">
        <v>1096</v>
      </c>
      <c r="AR9" s="79">
        <f t="shared" ref="AR9:BC9" si="9">MIN(1.3,(150/AR8)^0.2)</f>
        <v>1.1075663432482901</v>
      </c>
      <c r="AS9" s="79">
        <f t="shared" si="9"/>
        <v>1.1203003371416174</v>
      </c>
      <c r="AT9" s="79">
        <f t="shared" si="9"/>
        <v>1.1339665776330272</v>
      </c>
      <c r="AU9" s="79">
        <f t="shared" si="9"/>
        <v>1.1486983549970351</v>
      </c>
      <c r="AV9" s="79">
        <f t="shared" si="9"/>
        <v>1.1646586157796568</v>
      </c>
      <c r="AW9" s="79">
        <f t="shared" si="9"/>
        <v>1.18204927370905</v>
      </c>
      <c r="AX9" s="79">
        <f t="shared" si="9"/>
        <v>1.2011244339814313</v>
      </c>
      <c r="AY9" s="79">
        <f t="shared" si="9"/>
        <v>1.2222096655552421</v>
      </c>
      <c r="AZ9" s="79">
        <f t="shared" si="9"/>
        <v>1.2457309396155174</v>
      </c>
      <c r="BA9" s="79">
        <f t="shared" si="9"/>
        <v>1.2722596365393921</v>
      </c>
      <c r="BB9" s="79">
        <f t="shared" si="9"/>
        <v>1.3</v>
      </c>
      <c r="BC9" s="79">
        <f t="shared" si="9"/>
        <v>1.3</v>
      </c>
    </row>
    <row r="10" spans="1:59">
      <c r="B10" s="67" t="s">
        <v>1084</v>
      </c>
      <c r="C10" s="176"/>
      <c r="E10" s="78">
        <v>125</v>
      </c>
      <c r="F10" s="79">
        <f t="shared" si="0"/>
        <v>1.0371372893366482</v>
      </c>
      <c r="H10" s="80">
        <f t="shared" si="4"/>
        <v>575</v>
      </c>
      <c r="I10" s="79">
        <f t="shared" si="1"/>
        <v>1.0042650309076446</v>
      </c>
      <c r="J10" s="80">
        <f t="shared" si="5"/>
        <v>460</v>
      </c>
      <c r="K10" s="79">
        <f t="shared" si="2"/>
        <v>1.0269264546722878</v>
      </c>
      <c r="L10" s="80">
        <f t="shared" si="6"/>
        <v>345</v>
      </c>
      <c r="M10" s="79">
        <f t="shared" si="3"/>
        <v>1.0568983393845031</v>
      </c>
      <c r="Z10">
        <v>125</v>
      </c>
      <c r="AA10">
        <v>1.0371372893366482</v>
      </c>
      <c r="AG10" s="80">
        <f t="shared" ref="AG10:AG30" si="10">AG9-5</f>
        <v>590</v>
      </c>
      <c r="AH10" s="79">
        <f t="shared" si="8"/>
        <v>1.0033670795833372</v>
      </c>
    </row>
    <row r="11" spans="1:59" ht="17">
      <c r="B11" s="67" t="s">
        <v>1085</v>
      </c>
      <c r="C11" s="9"/>
      <c r="E11" s="78">
        <v>120</v>
      </c>
      <c r="F11" s="79">
        <f t="shared" si="0"/>
        <v>1.0456395525912732</v>
      </c>
      <c r="H11" s="80">
        <f t="shared" si="4"/>
        <v>570</v>
      </c>
      <c r="I11" s="79">
        <f t="shared" si="1"/>
        <v>1.0051425069699997</v>
      </c>
      <c r="J11" s="80">
        <f t="shared" si="5"/>
        <v>455</v>
      </c>
      <c r="K11" s="79">
        <f t="shared" si="2"/>
        <v>1.0280494033652348</v>
      </c>
      <c r="L11" s="80">
        <f t="shared" si="6"/>
        <v>340</v>
      </c>
      <c r="M11" s="79">
        <f t="shared" si="3"/>
        <v>1.058442410876292</v>
      </c>
      <c r="Z11">
        <v>120</v>
      </c>
      <c r="AA11">
        <v>1.0456395525912732</v>
      </c>
      <c r="AG11" s="80">
        <f t="shared" si="10"/>
        <v>585</v>
      </c>
      <c r="AH11" s="79">
        <f t="shared" si="8"/>
        <v>1.0050764030902959</v>
      </c>
      <c r="AO11" s="2" t="s">
        <v>1097</v>
      </c>
    </row>
    <row r="12" spans="1:59" ht="13.6">
      <c r="E12" s="78">
        <v>115</v>
      </c>
      <c r="F12" s="79">
        <f t="shared" si="0"/>
        <v>1.0545779433057945</v>
      </c>
      <c r="H12" s="80">
        <f t="shared" si="4"/>
        <v>565</v>
      </c>
      <c r="I12" s="79">
        <f t="shared" si="1"/>
        <v>1.0060284910572415</v>
      </c>
      <c r="J12" s="80">
        <f t="shared" si="5"/>
        <v>450</v>
      </c>
      <c r="K12" s="79">
        <f t="shared" si="2"/>
        <v>1.0291860089647606</v>
      </c>
      <c r="L12" s="80">
        <f t="shared" si="6"/>
        <v>335</v>
      </c>
      <c r="M12" s="79">
        <f t="shared" si="3"/>
        <v>1.0600116645322195</v>
      </c>
      <c r="Z12">
        <v>115</v>
      </c>
      <c r="AA12">
        <v>1.0545779433057945</v>
      </c>
      <c r="AG12" s="80">
        <f t="shared" si="10"/>
        <v>580</v>
      </c>
      <c r="AH12" s="79">
        <f t="shared" si="8"/>
        <v>1.006803348678863</v>
      </c>
      <c r="AO12" s="82" t="s">
        <v>978</v>
      </c>
      <c r="AP12" s="80">
        <v>600</v>
      </c>
      <c r="AQ12" s="80">
        <f t="shared" ref="AQ12:BG12" si="11">AP12-5</f>
        <v>595</v>
      </c>
      <c r="AR12" s="80">
        <f t="shared" si="11"/>
        <v>590</v>
      </c>
      <c r="AS12" s="80">
        <f t="shared" si="11"/>
        <v>585</v>
      </c>
      <c r="AT12" s="80">
        <f t="shared" si="11"/>
        <v>580</v>
      </c>
      <c r="AU12" s="80">
        <f t="shared" si="11"/>
        <v>575</v>
      </c>
      <c r="AV12" s="80">
        <f t="shared" si="11"/>
        <v>570</v>
      </c>
      <c r="AW12" s="80">
        <f t="shared" si="11"/>
        <v>565</v>
      </c>
      <c r="AX12" s="80">
        <f t="shared" si="11"/>
        <v>560</v>
      </c>
      <c r="AY12" s="80">
        <f t="shared" si="11"/>
        <v>555</v>
      </c>
      <c r="AZ12" s="80">
        <f t="shared" si="11"/>
        <v>550</v>
      </c>
      <c r="BA12" s="80">
        <f t="shared" si="11"/>
        <v>545</v>
      </c>
      <c r="BB12" s="80">
        <f t="shared" si="11"/>
        <v>540</v>
      </c>
      <c r="BC12" s="80">
        <f t="shared" si="11"/>
        <v>535</v>
      </c>
      <c r="BD12" s="80">
        <f t="shared" si="11"/>
        <v>530</v>
      </c>
      <c r="BE12" s="80">
        <f t="shared" si="11"/>
        <v>525</v>
      </c>
      <c r="BF12" s="80">
        <f t="shared" si="11"/>
        <v>520</v>
      </c>
      <c r="BG12" s="80">
        <f t="shared" si="11"/>
        <v>515</v>
      </c>
    </row>
    <row r="13" spans="1:59" ht="14.95">
      <c r="E13" s="78">
        <v>110</v>
      </c>
      <c r="F13" s="79">
        <f t="shared" si="0"/>
        <v>1.0639953128150836</v>
      </c>
      <c r="H13" s="80">
        <f t="shared" si="4"/>
        <v>560</v>
      </c>
      <c r="I13" s="79">
        <f t="shared" si="1"/>
        <v>1.0069231420593452</v>
      </c>
      <c r="J13" s="80">
        <f t="shared" si="5"/>
        <v>445</v>
      </c>
      <c r="K13" s="79">
        <f t="shared" si="2"/>
        <v>1.0303365921005758</v>
      </c>
      <c r="L13" s="80">
        <f t="shared" si="6"/>
        <v>330</v>
      </c>
      <c r="M13" s="79">
        <f t="shared" si="3"/>
        <v>1.061606896218146</v>
      </c>
      <c r="Z13">
        <v>110</v>
      </c>
      <c r="AA13">
        <v>1.0639953128150836</v>
      </c>
      <c r="AG13" s="80">
        <f t="shared" si="10"/>
        <v>575</v>
      </c>
      <c r="AH13" s="79">
        <f t="shared" si="8"/>
        <v>1.0085482523039324</v>
      </c>
      <c r="AO13" s="82" t="s">
        <v>1096</v>
      </c>
      <c r="AP13" s="79">
        <f t="shared" ref="AP13:BG13" si="12">MIN(1.15,(600/AP12)^0.2)</f>
        <v>1</v>
      </c>
      <c r="AQ13" s="79">
        <f t="shared" si="12"/>
        <v>1.0016750512678259</v>
      </c>
      <c r="AR13" s="79">
        <f t="shared" si="12"/>
        <v>1.0033670795833372</v>
      </c>
      <c r="AS13" s="79">
        <f t="shared" si="12"/>
        <v>1.0050764030902959</v>
      </c>
      <c r="AT13" s="79">
        <f t="shared" si="12"/>
        <v>1.006803348678863</v>
      </c>
      <c r="AU13" s="79">
        <f t="shared" si="12"/>
        <v>1.0085482523039324</v>
      </c>
      <c r="AV13" s="79">
        <f t="shared" si="12"/>
        <v>1.0103114593179361</v>
      </c>
      <c r="AW13" s="79">
        <f t="shared" si="12"/>
        <v>1.0120933248189101</v>
      </c>
      <c r="AX13" s="79">
        <f t="shared" si="12"/>
        <v>1.0138942140146645</v>
      </c>
      <c r="AY13" s="79">
        <f t="shared" si="12"/>
        <v>1.0157145026039509</v>
      </c>
      <c r="AZ13" s="79">
        <f t="shared" si="12"/>
        <v>1.0175545771755876</v>
      </c>
      <c r="BA13" s="79">
        <f t="shared" si="12"/>
        <v>1.0194148356265522</v>
      </c>
      <c r="BB13" s="79">
        <f t="shared" si="12"/>
        <v>1.0212956876001351</v>
      </c>
      <c r="BC13" s="79">
        <f t="shared" si="12"/>
        <v>1.023197554945305</v>
      </c>
      <c r="BD13" s="79">
        <f t="shared" si="12"/>
        <v>1.025120872198527</v>
      </c>
      <c r="BE13" s="79">
        <f t="shared" si="12"/>
        <v>1.0270660870893518</v>
      </c>
      <c r="BF13" s="79">
        <f t="shared" si="12"/>
        <v>1.0290336610711879</v>
      </c>
      <c r="BG13" s="79">
        <f t="shared" si="12"/>
        <v>1.0310240698787696</v>
      </c>
    </row>
    <row r="14" spans="1:59" ht="13.6">
      <c r="E14" s="78">
        <v>105</v>
      </c>
      <c r="F14" s="79">
        <f t="shared" si="0"/>
        <v>1.0739409237857793</v>
      </c>
      <c r="H14" s="80">
        <f t="shared" si="4"/>
        <v>555</v>
      </c>
      <c r="I14" s="79">
        <f t="shared" si="1"/>
        <v>1.0078266232859454</v>
      </c>
      <c r="J14" s="80">
        <f t="shared" si="5"/>
        <v>440</v>
      </c>
      <c r="K14" s="79">
        <f t="shared" si="2"/>
        <v>1.0315014846402712</v>
      </c>
      <c r="L14" s="80">
        <f t="shared" si="6"/>
        <v>325</v>
      </c>
      <c r="M14" s="79">
        <f t="shared" si="3"/>
        <v>1.063228939498285</v>
      </c>
      <c r="Z14">
        <v>105</v>
      </c>
      <c r="AA14">
        <v>1.0739409237857793</v>
      </c>
      <c r="AG14" s="80">
        <f t="shared" si="10"/>
        <v>570</v>
      </c>
      <c r="AH14" s="79">
        <f t="shared" si="8"/>
        <v>1.0103114593179361</v>
      </c>
      <c r="AO14" s="82" t="s">
        <v>978</v>
      </c>
      <c r="AP14" s="80">
        <f>BG12-5</f>
        <v>510</v>
      </c>
      <c r="AQ14" s="80">
        <f>AP14-5</f>
        <v>505</v>
      </c>
      <c r="AR14" s="80">
        <f>AQ14-5</f>
        <v>500</v>
      </c>
      <c r="AS14" s="80">
        <f>AR14-5</f>
        <v>495</v>
      </c>
      <c r="AT14" s="80">
        <f>AS14-5</f>
        <v>490</v>
      </c>
      <c r="AU14" s="80">
        <v>485</v>
      </c>
      <c r="AV14" s="80">
        <f t="shared" ref="AV14:BG14" si="13">AU14-5</f>
        <v>480</v>
      </c>
      <c r="AW14" s="80">
        <f t="shared" si="13"/>
        <v>475</v>
      </c>
      <c r="AX14" s="80">
        <f t="shared" si="13"/>
        <v>470</v>
      </c>
      <c r="AY14" s="80">
        <f t="shared" si="13"/>
        <v>465</v>
      </c>
      <c r="AZ14" s="80">
        <f t="shared" si="13"/>
        <v>460</v>
      </c>
      <c r="BA14" s="80">
        <f t="shared" si="13"/>
        <v>455</v>
      </c>
      <c r="BB14" s="80">
        <f t="shared" si="13"/>
        <v>450</v>
      </c>
      <c r="BC14" s="80">
        <f t="shared" si="13"/>
        <v>445</v>
      </c>
      <c r="BD14" s="80">
        <f t="shared" si="13"/>
        <v>440</v>
      </c>
      <c r="BE14" s="80">
        <f t="shared" si="13"/>
        <v>435</v>
      </c>
      <c r="BF14" s="80">
        <f t="shared" si="13"/>
        <v>430</v>
      </c>
      <c r="BG14" s="80">
        <f t="shared" si="13"/>
        <v>425</v>
      </c>
    </row>
    <row r="15" spans="1:59" ht="14.95">
      <c r="E15" s="78">
        <v>100</v>
      </c>
      <c r="F15" s="79">
        <f t="shared" si="0"/>
        <v>1.0844717711976986</v>
      </c>
      <c r="H15" s="80">
        <f t="shared" si="4"/>
        <v>550</v>
      </c>
      <c r="I15" s="79">
        <f t="shared" si="1"/>
        <v>1.0087391026304013</v>
      </c>
      <c r="J15" s="80">
        <f t="shared" si="5"/>
        <v>435</v>
      </c>
      <c r="K15" s="79">
        <f t="shared" si="2"/>
        <v>1.0326810302162193</v>
      </c>
      <c r="L15" s="80">
        <f t="shared" si="6"/>
        <v>320</v>
      </c>
      <c r="M15" s="79">
        <f t="shared" si="3"/>
        <v>1.0648786680336062</v>
      </c>
      <c r="Z15">
        <v>100</v>
      </c>
      <c r="AA15">
        <v>1.0844717711976986</v>
      </c>
      <c r="AG15" s="80">
        <f t="shared" si="10"/>
        <v>565</v>
      </c>
      <c r="AH15" s="79">
        <f t="shared" si="8"/>
        <v>1.0120933248189101</v>
      </c>
      <c r="AO15" s="82" t="s">
        <v>1096</v>
      </c>
      <c r="AP15" s="79">
        <f t="shared" ref="AP15:BG15" si="14">MIN(1.15,(600/AP14)^0.2)</f>
        <v>1.0330378041139323</v>
      </c>
      <c r="AQ15" s="79">
        <f t="shared" si="14"/>
        <v>1.0350753698614295</v>
      </c>
      <c r="AR15" s="79">
        <f t="shared" si="14"/>
        <v>1.0371372893366482</v>
      </c>
      <c r="AS15" s="79">
        <f t="shared" si="14"/>
        <v>1.0392241015672063</v>
      </c>
      <c r="AT15" s="79">
        <f t="shared" si="14"/>
        <v>1.0413363631105752</v>
      </c>
      <c r="AU15" s="79">
        <f t="shared" si="14"/>
        <v>1.0434746488100117</v>
      </c>
      <c r="AV15" s="79">
        <f t="shared" si="14"/>
        <v>1.0456395525912732</v>
      </c>
      <c r="AW15" s="79">
        <f t="shared" si="14"/>
        <v>1.0478316883027574</v>
      </c>
      <c r="AX15" s="79">
        <f t="shared" si="14"/>
        <v>1.0500516906019255</v>
      </c>
      <c r="AY15" s="79">
        <f t="shared" si="14"/>
        <v>1.0523002158910777</v>
      </c>
      <c r="AZ15" s="79">
        <f t="shared" si="14"/>
        <v>1.0545779433057945</v>
      </c>
      <c r="BA15" s="79">
        <f t="shared" si="14"/>
        <v>1.0568855757596152</v>
      </c>
      <c r="BB15" s="79">
        <f t="shared" si="14"/>
        <v>1.0592238410488122</v>
      </c>
      <c r="BC15" s="79">
        <f t="shared" si="14"/>
        <v>1.0615934930214284</v>
      </c>
      <c r="BD15" s="79">
        <f t="shared" si="14"/>
        <v>1.0639953128150836</v>
      </c>
      <c r="BE15" s="79">
        <f t="shared" si="14"/>
        <v>1.0664301101684319</v>
      </c>
      <c r="BF15" s="79">
        <f t="shared" si="14"/>
        <v>1.0688987248115527</v>
      </c>
      <c r="BG15" s="79">
        <f t="shared" si="14"/>
        <v>1.071402027941007</v>
      </c>
    </row>
    <row r="16" spans="1:59" ht="13.6">
      <c r="E16" s="78">
        <v>95</v>
      </c>
      <c r="F16" s="79">
        <f t="shared" si="0"/>
        <v>1.0956542577478539</v>
      </c>
      <c r="H16" s="80">
        <f t="shared" si="4"/>
        <v>545</v>
      </c>
      <c r="I16" s="79">
        <f t="shared" si="1"/>
        <v>1.0096607527415098</v>
      </c>
      <c r="J16" s="80">
        <f t="shared" si="5"/>
        <v>430</v>
      </c>
      <c r="K16" s="79">
        <f t="shared" si="2"/>
        <v>1.0338755847835621</v>
      </c>
      <c r="L16" s="80">
        <f t="shared" si="6"/>
        <v>315</v>
      </c>
      <c r="M16" s="79">
        <f t="shared" si="3"/>
        <v>1.0665569981730385</v>
      </c>
      <c r="Z16">
        <v>95</v>
      </c>
      <c r="AA16">
        <v>1.0956542577478539</v>
      </c>
      <c r="AG16" s="80">
        <f t="shared" si="10"/>
        <v>560</v>
      </c>
      <c r="AH16" s="79">
        <f t="shared" si="8"/>
        <v>1.0138942140146645</v>
      </c>
      <c r="AO16" s="82" t="s">
        <v>978</v>
      </c>
      <c r="AP16" s="80">
        <f>BG14-5</f>
        <v>420</v>
      </c>
      <c r="AQ16" s="80">
        <f t="shared" ref="AQ16:AY16" si="15">AP16-5</f>
        <v>415</v>
      </c>
      <c r="AR16" s="80">
        <f t="shared" si="15"/>
        <v>410</v>
      </c>
      <c r="AS16" s="80">
        <f t="shared" si="15"/>
        <v>405</v>
      </c>
      <c r="AT16" s="80">
        <f t="shared" si="15"/>
        <v>400</v>
      </c>
      <c r="AU16" s="80">
        <f t="shared" si="15"/>
        <v>395</v>
      </c>
      <c r="AV16" s="80">
        <f t="shared" si="15"/>
        <v>390</v>
      </c>
      <c r="AW16" s="80">
        <f t="shared" si="15"/>
        <v>385</v>
      </c>
      <c r="AX16" s="80">
        <f t="shared" si="15"/>
        <v>380</v>
      </c>
      <c r="AY16" s="80">
        <f t="shared" si="15"/>
        <v>375</v>
      </c>
      <c r="AZ16" s="80">
        <v>370</v>
      </c>
      <c r="BA16" s="80">
        <f t="shared" ref="BA16:BG16" si="16">AZ16-5</f>
        <v>365</v>
      </c>
      <c r="BB16" s="80">
        <f t="shared" si="16"/>
        <v>360</v>
      </c>
      <c r="BC16" s="80">
        <f t="shared" si="16"/>
        <v>355</v>
      </c>
      <c r="BD16" s="80">
        <f t="shared" si="16"/>
        <v>350</v>
      </c>
      <c r="BE16" s="80">
        <f t="shared" si="16"/>
        <v>345</v>
      </c>
      <c r="BF16" s="80">
        <f t="shared" si="16"/>
        <v>340</v>
      </c>
      <c r="BG16" s="80">
        <f t="shared" si="16"/>
        <v>335</v>
      </c>
    </row>
    <row r="17" spans="2:59" ht="15.65" thickBot="1">
      <c r="E17" s="78">
        <v>90</v>
      </c>
      <c r="F17" s="79">
        <f t="shared" si="0"/>
        <v>1.1075663432482901</v>
      </c>
      <c r="H17" s="80">
        <f t="shared" si="4"/>
        <v>540</v>
      </c>
      <c r="I17" s="79">
        <f t="shared" si="1"/>
        <v>1.0105917512032914</v>
      </c>
      <c r="J17" s="80">
        <f t="shared" si="5"/>
        <v>425</v>
      </c>
      <c r="K17" s="79">
        <f t="shared" si="2"/>
        <v>1.0350855172115041</v>
      </c>
      <c r="L17" s="80">
        <f t="shared" si="6"/>
        <v>310</v>
      </c>
      <c r="M17" s="79">
        <f t="shared" si="3"/>
        <v>1.0682648917563087</v>
      </c>
      <c r="Z17">
        <v>90</v>
      </c>
      <c r="AA17">
        <v>1.1075663432482901</v>
      </c>
      <c r="AG17" s="80">
        <f t="shared" si="10"/>
        <v>555</v>
      </c>
      <c r="AH17" s="79">
        <f t="shared" si="8"/>
        <v>1.0157145026039509</v>
      </c>
      <c r="AO17" s="82" t="s">
        <v>1096</v>
      </c>
      <c r="AP17" s="79">
        <f t="shared" ref="AP17:BG17" si="17">MIN(1.15,(600/AP16)^0.2)</f>
        <v>1.0739409237857793</v>
      </c>
      <c r="AQ17" s="79">
        <f t="shared" si="17"/>
        <v>1.0765163512708626</v>
      </c>
      <c r="AR17" s="79">
        <f t="shared" si="17"/>
        <v>1.0791292857858314</v>
      </c>
      <c r="AS17" s="79">
        <f t="shared" si="17"/>
        <v>1.0817807410664029</v>
      </c>
      <c r="AT17" s="79">
        <f t="shared" si="17"/>
        <v>1.0844717711976986</v>
      </c>
      <c r="AU17" s="79">
        <f t="shared" si="17"/>
        <v>1.0872034727487101</v>
      </c>
      <c r="AV17" s="79">
        <f t="shared" si="17"/>
        <v>1.0899769870483453</v>
      </c>
      <c r="AW17" s="79">
        <f t="shared" si="17"/>
        <v>1.0927935026143987</v>
      </c>
      <c r="AX17" s="79">
        <f t="shared" si="17"/>
        <v>1.0956542577478539</v>
      </c>
      <c r="AY17" s="79">
        <f t="shared" si="17"/>
        <v>1.0985605433061179</v>
      </c>
      <c r="AZ17" s="79">
        <f t="shared" si="17"/>
        <v>1.1015137056700963</v>
      </c>
      <c r="BA17" s="79">
        <f t="shared" si="17"/>
        <v>1.1045151499214863</v>
      </c>
      <c r="BB17" s="79">
        <f t="shared" si="17"/>
        <v>1.1075663432482901</v>
      </c>
      <c r="BC17" s="79">
        <f t="shared" si="17"/>
        <v>1.110668818598368</v>
      </c>
      <c r="BD17" s="79">
        <f t="shared" si="17"/>
        <v>1.1138241786028791</v>
      </c>
      <c r="BE17" s="79">
        <f t="shared" si="17"/>
        <v>1.1170340997937203</v>
      </c>
      <c r="BF17" s="79">
        <f t="shared" si="17"/>
        <v>1.1203003371416174</v>
      </c>
      <c r="BG17" s="79">
        <f t="shared" si="17"/>
        <v>1.1236247289443668</v>
      </c>
    </row>
    <row r="18" spans="2:59" ht="14.3" thickBot="1">
      <c r="B18" s="116" t="s">
        <v>1142</v>
      </c>
      <c r="E18" s="78">
        <v>85</v>
      </c>
      <c r="F18" s="79">
        <f t="shared" si="0"/>
        <v>1.1203003371416174</v>
      </c>
      <c r="H18" s="80">
        <f t="shared" si="4"/>
        <v>535</v>
      </c>
      <c r="I18" s="79">
        <f t="shared" si="1"/>
        <v>1.0115322807233118</v>
      </c>
      <c r="J18" s="80">
        <f t="shared" si="5"/>
        <v>420</v>
      </c>
      <c r="K18" s="79">
        <f t="shared" si="2"/>
        <v>1.0363112099103142</v>
      </c>
      <c r="L18" s="80">
        <f t="shared" si="6"/>
        <v>305</v>
      </c>
      <c r="M18" s="79">
        <f t="shared" si="3"/>
        <v>1.0700033591494256</v>
      </c>
      <c r="Z18">
        <v>85</v>
      </c>
      <c r="AA18">
        <v>1.1203003371416174</v>
      </c>
      <c r="AG18" s="80">
        <f t="shared" si="10"/>
        <v>550</v>
      </c>
      <c r="AH18" s="79">
        <f t="shared" si="8"/>
        <v>1.0175545771755876</v>
      </c>
      <c r="AO18" s="82" t="s">
        <v>978</v>
      </c>
      <c r="AP18" s="80">
        <f>BG16-5</f>
        <v>330</v>
      </c>
      <c r="AQ18" s="80">
        <f t="shared" ref="AQ18:AV18" si="18">AP18-5</f>
        <v>325</v>
      </c>
      <c r="AR18" s="80">
        <f t="shared" si="18"/>
        <v>320</v>
      </c>
      <c r="AS18" s="80">
        <f t="shared" si="18"/>
        <v>315</v>
      </c>
      <c r="AT18" s="80">
        <f t="shared" si="18"/>
        <v>310</v>
      </c>
      <c r="AU18" s="80">
        <f t="shared" si="18"/>
        <v>305</v>
      </c>
      <c r="AV18" s="80">
        <f t="shared" si="18"/>
        <v>300</v>
      </c>
    </row>
    <row r="19" spans="2:59" ht="14.95">
      <c r="E19" s="78">
        <v>80</v>
      </c>
      <c r="F19" s="79">
        <f t="shared" si="0"/>
        <v>1.1339665776330272</v>
      </c>
      <c r="H19" s="80">
        <f t="shared" si="4"/>
        <v>530</v>
      </c>
      <c r="I19" s="79">
        <f t="shared" si="1"/>
        <v>1.0124825293300259</v>
      </c>
      <c r="J19" s="80">
        <f t="shared" si="5"/>
        <v>415</v>
      </c>
      <c r="K19" s="79">
        <f t="shared" si="2"/>
        <v>1.0375530594966518</v>
      </c>
      <c r="L19" s="80">
        <f t="shared" si="6"/>
        <v>300</v>
      </c>
      <c r="M19" s="79">
        <f t="shared" si="3"/>
        <v>1.0717734625362931</v>
      </c>
      <c r="Z19">
        <v>80</v>
      </c>
      <c r="AA19">
        <v>1.1339665776330272</v>
      </c>
      <c r="AG19" s="80">
        <f t="shared" si="10"/>
        <v>545</v>
      </c>
      <c r="AH19" s="79">
        <f t="shared" si="8"/>
        <v>1.0194148356265522</v>
      </c>
      <c r="AO19" s="82" t="s">
        <v>1096</v>
      </c>
      <c r="AP19" s="79">
        <f t="shared" ref="AP19:AV19" si="19">MIN(1.15,(600/AP18)^0.2)</f>
        <v>1.1270092020979254</v>
      </c>
      <c r="AQ19" s="79">
        <f t="shared" si="19"/>
        <v>1.1304557777866477</v>
      </c>
      <c r="AR19" s="79">
        <f t="shared" si="19"/>
        <v>1.1339665776330272</v>
      </c>
      <c r="AS19" s="79">
        <f t="shared" si="19"/>
        <v>1.137543830351883</v>
      </c>
      <c r="AT19" s="79">
        <f t="shared" si="19"/>
        <v>1.1411898789591177</v>
      </c>
      <c r="AU19" s="79">
        <f t="shared" si="19"/>
        <v>1.1449071885910547</v>
      </c>
      <c r="AV19" s="79">
        <f t="shared" si="19"/>
        <v>1.1486983549970351</v>
      </c>
    </row>
    <row r="20" spans="2:59">
      <c r="B20" s="1430" t="s">
        <v>451</v>
      </c>
      <c r="C20" s="1431"/>
      <c r="E20" s="78">
        <v>75</v>
      </c>
      <c r="F20" s="79">
        <f t="shared" si="0"/>
        <v>1.1486983549970351</v>
      </c>
      <c r="H20" s="80">
        <f t="shared" si="4"/>
        <v>525</v>
      </c>
      <c r="I20" s="79">
        <f t="shared" si="1"/>
        <v>1.0134426905796656</v>
      </c>
      <c r="J20" s="80">
        <f t="shared" si="5"/>
        <v>410</v>
      </c>
      <c r="K20" s="79">
        <f t="shared" si="2"/>
        <v>1.0388114775000474</v>
      </c>
      <c r="L20" s="80">
        <f t="shared" ref="L20:L25" si="20">L19-5</f>
        <v>295</v>
      </c>
      <c r="M20" s="79">
        <f t="shared" si="3"/>
        <v>1.073576319492731</v>
      </c>
      <c r="Z20">
        <v>75</v>
      </c>
      <c r="AA20">
        <v>1.1486983549970351</v>
      </c>
      <c r="AG20" s="80">
        <f t="shared" si="10"/>
        <v>540</v>
      </c>
      <c r="AH20" s="79">
        <f t="shared" si="8"/>
        <v>1.0212956876001351</v>
      </c>
    </row>
    <row r="21" spans="2:59">
      <c r="B21" s="1430" t="s">
        <v>473</v>
      </c>
      <c r="C21" s="1431"/>
      <c r="E21" s="78">
        <v>70</v>
      </c>
      <c r="F21" s="79">
        <f t="shared" si="0"/>
        <v>1.1646586157796568</v>
      </c>
      <c r="H21" s="80">
        <f t="shared" si="4"/>
        <v>520</v>
      </c>
      <c r="I21" s="79">
        <f t="shared" si="1"/>
        <v>1.0144129637732298</v>
      </c>
      <c r="J21" s="80">
        <f t="shared" si="5"/>
        <v>405</v>
      </c>
      <c r="K21" s="79">
        <f t="shared" si="2"/>
        <v>1.0400868911136236</v>
      </c>
      <c r="L21" s="80">
        <f t="shared" si="20"/>
        <v>290</v>
      </c>
      <c r="M21" s="79">
        <f t="shared" si="3"/>
        <v>1.0754131068723851</v>
      </c>
      <c r="Z21">
        <v>70</v>
      </c>
      <c r="AA21">
        <v>1.1646586157796568</v>
      </c>
      <c r="AG21" s="80">
        <f t="shared" si="10"/>
        <v>535</v>
      </c>
      <c r="AH21" s="79">
        <f t="shared" si="8"/>
        <v>1.023197554945305</v>
      </c>
    </row>
    <row r="22" spans="2:59">
      <c r="B22" s="1428" t="s">
        <v>474</v>
      </c>
      <c r="C22" s="1429"/>
      <c r="E22" s="78">
        <v>65</v>
      </c>
      <c r="F22" s="79">
        <f t="shared" si="0"/>
        <v>1.18204927370905</v>
      </c>
      <c r="H22" s="80">
        <f t="shared" si="4"/>
        <v>515</v>
      </c>
      <c r="I22" s="79">
        <f t="shared" si="1"/>
        <v>1.0153935541841743</v>
      </c>
      <c r="J22" s="80">
        <f t="shared" si="5"/>
        <v>400</v>
      </c>
      <c r="K22" s="79">
        <f t="shared" si="2"/>
        <v>1.0413797439924106</v>
      </c>
      <c r="L22" s="80">
        <f t="shared" si="20"/>
        <v>285</v>
      </c>
      <c r="M22" s="79">
        <f t="shared" si="3"/>
        <v>1.0772850650376469</v>
      </c>
      <c r="Z22">
        <v>65</v>
      </c>
      <c r="AA22">
        <v>1.18204927370905</v>
      </c>
      <c r="AG22" s="80">
        <f t="shared" si="10"/>
        <v>530</v>
      </c>
      <c r="AH22" s="79">
        <f t="shared" si="8"/>
        <v>1.025120872198527</v>
      </c>
    </row>
    <row r="23" spans="2:59">
      <c r="B23" s="1428" t="s">
        <v>490</v>
      </c>
      <c r="C23" s="1429"/>
      <c r="E23" s="78">
        <v>60</v>
      </c>
      <c r="F23" s="79">
        <f t="shared" si="0"/>
        <v>1.2011244339814313</v>
      </c>
      <c r="H23" s="80">
        <f t="shared" si="4"/>
        <v>510</v>
      </c>
      <c r="I23" s="79">
        <f t="shared" si="1"/>
        <v>1.0163846732974342</v>
      </c>
      <c r="J23" s="80">
        <f t="shared" si="5"/>
        <v>395</v>
      </c>
      <c r="K23" s="79">
        <f t="shared" si="2"/>
        <v>1.0426904971029083</v>
      </c>
      <c r="L23" s="80">
        <f t="shared" si="20"/>
        <v>280</v>
      </c>
      <c r="M23" s="79">
        <f t="shared" si="3"/>
        <v>1.0791935024728683</v>
      </c>
      <c r="Z23">
        <v>60</v>
      </c>
      <c r="AA23">
        <v>1.2011244339814313</v>
      </c>
      <c r="AG23" s="80">
        <f t="shared" si="10"/>
        <v>525</v>
      </c>
      <c r="AH23" s="79">
        <f t="shared" si="8"/>
        <v>1.0270660870893518</v>
      </c>
      <c r="AK23" s="1"/>
      <c r="AL23" s="70"/>
    </row>
    <row r="24" spans="2:59">
      <c r="B24" s="1428" t="s">
        <v>521</v>
      </c>
      <c r="C24" s="1429"/>
      <c r="E24" s="78">
        <v>55</v>
      </c>
      <c r="F24" s="79">
        <f t="shared" si="0"/>
        <v>1.2222096655552421</v>
      </c>
      <c r="H24" s="80">
        <f t="shared" si="4"/>
        <v>505</v>
      </c>
      <c r="I24" s="79">
        <f t="shared" si="1"/>
        <v>1.0173865390604642</v>
      </c>
      <c r="J24" s="80">
        <f t="shared" si="5"/>
        <v>390</v>
      </c>
      <c r="K24" s="79">
        <f t="shared" si="2"/>
        <v>1.0440196296278845</v>
      </c>
      <c r="L24" s="80">
        <f t="shared" si="20"/>
        <v>275</v>
      </c>
      <c r="M24" s="79">
        <f t="shared" si="3"/>
        <v>1.0811398008219386</v>
      </c>
      <c r="Z24">
        <v>55</v>
      </c>
      <c r="AA24">
        <v>1.2222096655552421</v>
      </c>
      <c r="AG24" s="80">
        <f t="shared" si="10"/>
        <v>520</v>
      </c>
      <c r="AH24" s="79">
        <f t="shared" si="8"/>
        <v>1.0290336610711879</v>
      </c>
      <c r="AK24" s="1"/>
      <c r="AL24" s="70"/>
    </row>
    <row r="25" spans="2:59">
      <c r="E25" s="78">
        <v>50</v>
      </c>
      <c r="F25" s="79">
        <f t="shared" si="0"/>
        <v>1.2457309396155174</v>
      </c>
      <c r="H25" s="80">
        <f t="shared" si="4"/>
        <v>500</v>
      </c>
      <c r="I25" s="79">
        <f t="shared" si="1"/>
        <v>1.0183993761470242</v>
      </c>
      <c r="J25" s="80">
        <f t="shared" si="5"/>
        <v>385</v>
      </c>
      <c r="K25" s="79">
        <f t="shared" si="2"/>
        <v>1.0453676399307559</v>
      </c>
      <c r="L25" s="80">
        <f t="shared" si="20"/>
        <v>270</v>
      </c>
      <c r="M25" s="79">
        <f t="shared" si="3"/>
        <v>1.0831254203977676</v>
      </c>
      <c r="Z25">
        <v>50</v>
      </c>
      <c r="AA25">
        <v>1.2457309396155174</v>
      </c>
      <c r="AG25" s="80">
        <f t="shared" si="10"/>
        <v>515</v>
      </c>
      <c r="AH25" s="79">
        <f t="shared" si="8"/>
        <v>1.0310240698787696</v>
      </c>
      <c r="AK25" s="1"/>
      <c r="AL25" s="70"/>
    </row>
    <row r="26" spans="2:59">
      <c r="E26" s="78">
        <v>45</v>
      </c>
      <c r="F26" s="79">
        <f t="shared" si="0"/>
        <v>1.2722596365393921</v>
      </c>
      <c r="H26" s="80">
        <f t="shared" si="4"/>
        <v>495</v>
      </c>
      <c r="I26" s="79">
        <f t="shared" si="1"/>
        <v>1.019423416234494</v>
      </c>
      <c r="J26" s="80">
        <f t="shared" si="5"/>
        <v>380</v>
      </c>
      <c r="K26" s="79">
        <f t="shared" si="2"/>
        <v>1.0467350465843082</v>
      </c>
      <c r="L26" s="80">
        <f t="shared" ref="L26:L31" si="21">L25-5</f>
        <v>265</v>
      </c>
      <c r="M26" s="79">
        <f t="shared" ref="M26:M31" si="22">MIN(1.1,(600/L26)^0.1)</f>
        <v>1.0851519062175461</v>
      </c>
      <c r="Z26">
        <v>45</v>
      </c>
      <c r="AA26">
        <v>1.2722596365393921</v>
      </c>
      <c r="AG26" s="80">
        <f t="shared" si="10"/>
        <v>510</v>
      </c>
      <c r="AH26" s="79">
        <f t="shared" si="8"/>
        <v>1.0330378041139323</v>
      </c>
      <c r="AK26" s="1"/>
      <c r="AL26" s="70"/>
    </row>
    <row r="27" spans="2:59">
      <c r="E27" s="78">
        <v>40</v>
      </c>
      <c r="F27" s="79">
        <f t="shared" si="0"/>
        <v>1.3</v>
      </c>
      <c r="H27" s="80">
        <f t="shared" si="4"/>
        <v>490</v>
      </c>
      <c r="I27" s="79">
        <f t="shared" si="1"/>
        <v>1.0204588982955536</v>
      </c>
      <c r="J27" s="80">
        <f t="shared" si="5"/>
        <v>375</v>
      </c>
      <c r="K27" s="79">
        <f t="shared" si="2"/>
        <v>1.0481223894689577</v>
      </c>
      <c r="L27" s="80">
        <f t="shared" si="21"/>
        <v>260</v>
      </c>
      <c r="M27" s="79">
        <f t="shared" si="22"/>
        <v>1.0872208946249378</v>
      </c>
      <c r="Z27">
        <v>40</v>
      </c>
      <c r="AA27">
        <v>1.3</v>
      </c>
      <c r="AG27" s="80">
        <f t="shared" si="10"/>
        <v>505</v>
      </c>
      <c r="AH27" s="79">
        <f t="shared" si="8"/>
        <v>1.0350753698614295</v>
      </c>
      <c r="AK27" s="1"/>
      <c r="AL27" s="70"/>
    </row>
    <row r="28" spans="2:59">
      <c r="L28" s="80">
        <f t="shared" si="21"/>
        <v>255</v>
      </c>
      <c r="M28" s="79">
        <f t="shared" si="22"/>
        <v>1.0893341205688103</v>
      </c>
      <c r="AG28" s="80">
        <f t="shared" si="10"/>
        <v>500</v>
      </c>
      <c r="AH28" s="79">
        <f t="shared" si="8"/>
        <v>1.0371372893366482</v>
      </c>
      <c r="AK28" s="1"/>
      <c r="AL28" s="70"/>
    </row>
    <row r="29" spans="2:59">
      <c r="L29" s="80">
        <f t="shared" si="21"/>
        <v>250</v>
      </c>
      <c r="M29" s="79">
        <f t="shared" si="22"/>
        <v>1.091493425617897</v>
      </c>
      <c r="AG29" s="80">
        <f t="shared" si="10"/>
        <v>495</v>
      </c>
      <c r="AH29" s="79">
        <f t="shared" si="8"/>
        <v>1.0392241015672063</v>
      </c>
      <c r="AK29" s="1"/>
      <c r="AL29" s="70"/>
    </row>
    <row r="30" spans="2:59" ht="13.6">
      <c r="L30" s="80">
        <f t="shared" si="21"/>
        <v>245</v>
      </c>
      <c r="M30" s="79">
        <f t="shared" si="22"/>
        <v>1.0937007668021965</v>
      </c>
      <c r="O30" s="83"/>
      <c r="P30" s="84"/>
      <c r="AG30" s="80">
        <f t="shared" si="10"/>
        <v>490</v>
      </c>
      <c r="AH30" s="79">
        <f t="shared" si="8"/>
        <v>1.0413363631105752</v>
      </c>
      <c r="AK30" s="1"/>
      <c r="AL30" s="70"/>
    </row>
    <row r="31" spans="2:59" ht="13.6">
      <c r="L31" s="80">
        <f t="shared" si="21"/>
        <v>240</v>
      </c>
      <c r="M31" s="79">
        <f t="shared" si="22"/>
        <v>1.0959582263852172</v>
      </c>
      <c r="O31" s="85"/>
      <c r="P31" s="85"/>
      <c r="AG31" s="80">
        <v>485</v>
      </c>
      <c r="AH31" s="79">
        <f t="shared" si="8"/>
        <v>1.0434746488100117</v>
      </c>
    </row>
    <row r="32" spans="2:59">
      <c r="L32" s="80"/>
      <c r="M32" s="79"/>
      <c r="O32" s="86"/>
      <c r="P32" s="87"/>
      <c r="AG32" s="80">
        <f>AG31-5</f>
        <v>480</v>
      </c>
      <c r="AH32" s="79">
        <f t="shared" si="8"/>
        <v>1.0456395525912732</v>
      </c>
    </row>
    <row r="33" spans="12:34">
      <c r="L33" s="80"/>
      <c r="M33" s="79"/>
      <c r="O33" s="86"/>
      <c r="P33" s="87"/>
      <c r="AG33" s="80">
        <f t="shared" ref="AG33:AG53" si="23">AG32-5</f>
        <v>475</v>
      </c>
      <c r="AH33" s="79">
        <f t="shared" si="8"/>
        <v>1.0478316883027574</v>
      </c>
    </row>
    <row r="34" spans="12:34">
      <c r="L34" s="80"/>
      <c r="M34" s="79"/>
      <c r="O34" s="86"/>
      <c r="P34" s="87"/>
      <c r="AG34" s="80">
        <f t="shared" si="23"/>
        <v>470</v>
      </c>
      <c r="AH34" s="79">
        <f t="shared" si="8"/>
        <v>1.0500516906019255</v>
      </c>
    </row>
    <row r="35" spans="12:34">
      <c r="O35" s="86"/>
      <c r="P35" s="87"/>
      <c r="AG35" s="80">
        <f t="shared" si="23"/>
        <v>465</v>
      </c>
      <c r="AH35" s="79">
        <f t="shared" si="8"/>
        <v>1.0523002158910777</v>
      </c>
    </row>
    <row r="36" spans="12:34">
      <c r="O36" s="86"/>
      <c r="P36" s="87"/>
      <c r="AG36" s="80">
        <f t="shared" si="23"/>
        <v>460</v>
      </c>
      <c r="AH36" s="79">
        <f t="shared" si="8"/>
        <v>1.0545779433057945</v>
      </c>
    </row>
    <row r="37" spans="12:34">
      <c r="O37" s="86"/>
      <c r="P37" s="87"/>
      <c r="AG37" s="80">
        <f t="shared" si="23"/>
        <v>455</v>
      </c>
      <c r="AH37" s="79">
        <f t="shared" si="8"/>
        <v>1.0568855757596152</v>
      </c>
    </row>
    <row r="38" spans="12:34">
      <c r="O38" s="86"/>
      <c r="P38" s="87"/>
      <c r="AG38" s="80">
        <f t="shared" si="23"/>
        <v>450</v>
      </c>
      <c r="AH38" s="79">
        <f t="shared" si="8"/>
        <v>1.0592238410488122</v>
      </c>
    </row>
    <row r="39" spans="12:34">
      <c r="O39" s="86"/>
      <c r="P39" s="87"/>
      <c r="AG39" s="80">
        <f t="shared" si="23"/>
        <v>445</v>
      </c>
      <c r="AH39" s="79">
        <f t="shared" si="8"/>
        <v>1.0615934930214284</v>
      </c>
    </row>
    <row r="40" spans="12:34">
      <c r="O40" s="86"/>
      <c r="P40" s="87"/>
      <c r="AG40" s="80">
        <f t="shared" si="23"/>
        <v>440</v>
      </c>
      <c r="AH40" s="79">
        <f t="shared" si="8"/>
        <v>1.0639953128150836</v>
      </c>
    </row>
    <row r="41" spans="12:34">
      <c r="O41" s="86"/>
      <c r="P41" s="87"/>
      <c r="AG41" s="80">
        <f t="shared" si="23"/>
        <v>435</v>
      </c>
      <c r="AH41" s="79">
        <f t="shared" si="8"/>
        <v>1.0664301101684319</v>
      </c>
    </row>
    <row r="42" spans="12:34">
      <c r="O42" s="86"/>
      <c r="P42" s="87"/>
      <c r="AG42" s="80">
        <f t="shared" si="23"/>
        <v>430</v>
      </c>
      <c r="AH42" s="79">
        <f t="shared" si="8"/>
        <v>1.0688987248115527</v>
      </c>
    </row>
    <row r="43" spans="12:34">
      <c r="O43" s="86"/>
      <c r="P43" s="87"/>
      <c r="AG43" s="80">
        <f t="shared" si="23"/>
        <v>425</v>
      </c>
      <c r="AH43" s="79">
        <f t="shared" si="8"/>
        <v>1.071402027941007</v>
      </c>
    </row>
    <row r="44" spans="12:34">
      <c r="O44" s="86"/>
      <c r="P44" s="87"/>
      <c r="AG44" s="80">
        <f t="shared" si="23"/>
        <v>420</v>
      </c>
      <c r="AH44" s="79">
        <f t="shared" si="8"/>
        <v>1.0739409237857793</v>
      </c>
    </row>
    <row r="45" spans="12:34">
      <c r="O45" s="86"/>
      <c r="P45" s="87"/>
      <c r="AG45" s="80">
        <f t="shared" si="23"/>
        <v>415</v>
      </c>
      <c r="AH45" s="79">
        <f t="shared" si="8"/>
        <v>1.0765163512708626</v>
      </c>
    </row>
    <row r="46" spans="12:34">
      <c r="O46" s="86"/>
      <c r="P46" s="87"/>
      <c r="AG46" s="80">
        <f t="shared" si="23"/>
        <v>410</v>
      </c>
      <c r="AH46" s="79">
        <f t="shared" si="8"/>
        <v>1.0791292857858314</v>
      </c>
    </row>
    <row r="47" spans="12:34">
      <c r="O47" s="86"/>
      <c r="P47" s="87"/>
      <c r="AG47" s="80">
        <f t="shared" si="23"/>
        <v>405</v>
      </c>
      <c r="AH47" s="79">
        <f t="shared" si="8"/>
        <v>1.0817807410664029</v>
      </c>
    </row>
    <row r="48" spans="12:34">
      <c r="O48" s="86"/>
      <c r="P48" s="87"/>
      <c r="AG48" s="80">
        <f t="shared" si="23"/>
        <v>400</v>
      </c>
      <c r="AH48" s="79">
        <f t="shared" si="8"/>
        <v>1.0844717711976986</v>
      </c>
    </row>
    <row r="49" spans="15:34">
      <c r="O49" s="86"/>
      <c r="P49" s="87"/>
      <c r="AG49" s="80">
        <f t="shared" si="23"/>
        <v>395</v>
      </c>
      <c r="AH49" s="79">
        <f t="shared" si="8"/>
        <v>1.0872034727487101</v>
      </c>
    </row>
    <row r="50" spans="15:34">
      <c r="O50" s="86"/>
      <c r="P50" s="87"/>
      <c r="AG50" s="80">
        <f t="shared" si="23"/>
        <v>390</v>
      </c>
      <c r="AH50" s="79">
        <f t="shared" si="8"/>
        <v>1.0899769870483453</v>
      </c>
    </row>
    <row r="51" spans="15:34">
      <c r="O51" s="86"/>
      <c r="P51" s="87"/>
      <c r="AG51" s="80">
        <f t="shared" si="23"/>
        <v>385</v>
      </c>
      <c r="AH51" s="79">
        <f t="shared" si="8"/>
        <v>1.0927935026143987</v>
      </c>
    </row>
    <row r="52" spans="15:34">
      <c r="O52" s="86"/>
      <c r="P52" s="87"/>
      <c r="AG52" s="80">
        <f t="shared" si="23"/>
        <v>380</v>
      </c>
      <c r="AH52" s="79">
        <f t="shared" si="8"/>
        <v>1.0956542577478539</v>
      </c>
    </row>
    <row r="53" spans="15:34">
      <c r="O53" s="86"/>
      <c r="P53" s="87"/>
      <c r="AG53" s="80">
        <f t="shared" si="23"/>
        <v>375</v>
      </c>
      <c r="AH53" s="79">
        <f t="shared" si="8"/>
        <v>1.0985605433061179</v>
      </c>
    </row>
    <row r="54" spans="15:34">
      <c r="O54" s="86"/>
      <c r="P54" s="87"/>
      <c r="AG54" s="80">
        <v>370</v>
      </c>
      <c r="AH54" s="79">
        <f t="shared" si="8"/>
        <v>1.1015137056700963</v>
      </c>
    </row>
    <row r="55" spans="15:34">
      <c r="AG55" s="80">
        <f>AG54-5</f>
        <v>365</v>
      </c>
      <c r="AH55" s="79">
        <f t="shared" si="8"/>
        <v>1.1045151499214863</v>
      </c>
    </row>
    <row r="56" spans="15:34">
      <c r="AG56" s="80">
        <f t="shared" ref="AG56:AG68" si="24">AG55-5</f>
        <v>360</v>
      </c>
      <c r="AH56" s="79">
        <f t="shared" si="8"/>
        <v>1.1075663432482901</v>
      </c>
    </row>
    <row r="57" spans="15:34">
      <c r="AG57" s="80">
        <f t="shared" si="24"/>
        <v>355</v>
      </c>
      <c r="AH57" s="79">
        <f t="shared" si="8"/>
        <v>1.110668818598368</v>
      </c>
    </row>
    <row r="58" spans="15:34">
      <c r="AG58" s="80">
        <f t="shared" si="24"/>
        <v>350</v>
      </c>
      <c r="AH58" s="79">
        <f t="shared" si="8"/>
        <v>1.1138241786028791</v>
      </c>
    </row>
    <row r="59" spans="15:34">
      <c r="AG59" s="80">
        <f t="shared" si="24"/>
        <v>345</v>
      </c>
      <c r="AH59" s="79">
        <f t="shared" si="8"/>
        <v>1.1170340997937203</v>
      </c>
    </row>
    <row r="60" spans="15:34">
      <c r="AG60" s="80">
        <f t="shared" si="24"/>
        <v>340</v>
      </c>
      <c r="AH60" s="79">
        <f t="shared" si="8"/>
        <v>1.1203003371416174</v>
      </c>
    </row>
    <row r="61" spans="15:34">
      <c r="AG61" s="80">
        <f t="shared" si="24"/>
        <v>335</v>
      </c>
      <c r="AH61" s="79">
        <f t="shared" si="8"/>
        <v>1.1236247289443668</v>
      </c>
    </row>
    <row r="62" spans="15:34">
      <c r="AG62" s="80">
        <f t="shared" si="24"/>
        <v>330</v>
      </c>
      <c r="AH62" s="79">
        <f t="shared" si="8"/>
        <v>1.1270092020979254</v>
      </c>
    </row>
    <row r="63" spans="15:34">
      <c r="AG63" s="80">
        <f t="shared" si="24"/>
        <v>325</v>
      </c>
      <c r="AH63" s="79">
        <f t="shared" si="8"/>
        <v>1.1304557777866477</v>
      </c>
    </row>
    <row r="64" spans="15:34">
      <c r="AG64" s="80">
        <f t="shared" si="24"/>
        <v>320</v>
      </c>
      <c r="AH64" s="79">
        <f t="shared" si="8"/>
        <v>1.1339665776330272</v>
      </c>
    </row>
    <row r="65" spans="33:34">
      <c r="AG65" s="80">
        <f t="shared" si="24"/>
        <v>315</v>
      </c>
      <c r="AH65" s="79">
        <f t="shared" si="8"/>
        <v>1.137543830351883</v>
      </c>
    </row>
    <row r="66" spans="33:34">
      <c r="AG66" s="80">
        <f t="shared" si="24"/>
        <v>310</v>
      </c>
      <c r="AH66" s="79">
        <f t="shared" si="8"/>
        <v>1.1411898789591177</v>
      </c>
    </row>
    <row r="67" spans="33:34">
      <c r="AG67" s="80">
        <f t="shared" si="24"/>
        <v>305</v>
      </c>
      <c r="AH67" s="79">
        <f t="shared" si="8"/>
        <v>1.1449071885910547</v>
      </c>
    </row>
    <row r="68" spans="33:34">
      <c r="AG68" s="80">
        <f t="shared" si="24"/>
        <v>300</v>
      </c>
      <c r="AH68" s="79">
        <f t="shared" si="8"/>
        <v>1.1486983549970351</v>
      </c>
    </row>
  </sheetData>
  <sheetProtection password="CCC4" sheet="1" objects="1" scenarios="1"/>
  <mergeCells count="6">
    <mergeCell ref="B24:C24"/>
    <mergeCell ref="B23:C23"/>
    <mergeCell ref="A1:M1"/>
    <mergeCell ref="B20:C20"/>
    <mergeCell ref="B21:C21"/>
    <mergeCell ref="B22:C22"/>
  </mergeCells>
  <phoneticPr fontId="2" type="noConversion"/>
  <hyperlinks>
    <hyperlink ref="B18" location="'M1'!A1" display="RETOUR MENU"/>
    <hyperlink ref="B20" location="'27'!A1" display="RETOUR MENU"/>
    <hyperlink ref="B21" location="'29'!A1" display="RETOUR FLEXION"/>
    <hyperlink ref="B22" location="'29'!A1" display="RETOUR FLEXION"/>
    <hyperlink ref="B22:C22" location="'33'!A1" display="RETOUR TRACTION TRANSVERSALE"/>
    <hyperlink ref="B23" location="'29'!A1" display="RETOUR FLEXION"/>
    <hyperlink ref="B23:C23" location="'34'!A1" display="RETOUR FLEXION OBLIQUE"/>
    <hyperlink ref="B24" location="'29'!A1" display="RETOUR FLEXION"/>
    <hyperlink ref="B24:C24" location="'37'!A1" display="RETOUR POUTRES IV 1 PENTE"/>
  </hyperlinks>
  <pageMargins left="0.78740157499999996" right="0.78740157499999996" top="0.984251969" bottom="0.984251969" header="0.4921259845" footer="0.4921259845"/>
  <headerFooter alignWithMargins="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dimension ref="A1:Y91"/>
  <sheetViews>
    <sheetView workbookViewId="0">
      <selection activeCell="B17" sqref="B17:D17"/>
    </sheetView>
  </sheetViews>
  <sheetFormatPr baseColWidth="10" defaultRowHeight="12.9"/>
  <cols>
    <col min="2" max="2" width="9.75" style="1" customWidth="1"/>
    <col min="4" max="4" width="15.625" customWidth="1"/>
    <col min="6" max="6" width="7.375" style="1" customWidth="1"/>
    <col min="7" max="18" width="7.75" customWidth="1"/>
    <col min="21" max="24" width="7" hidden="1" customWidth="1"/>
  </cols>
  <sheetData>
    <row r="1" spans="1:25" ht="25.85" thickBot="1">
      <c r="A1" s="1437" t="s">
        <v>1138</v>
      </c>
      <c r="B1" s="1438"/>
      <c r="C1" s="1439"/>
      <c r="D1" s="1439"/>
      <c r="E1" s="1439"/>
      <c r="F1" s="1439"/>
      <c r="G1" s="1439"/>
      <c r="H1" s="1439"/>
      <c r="I1" s="1439"/>
      <c r="J1" s="1439"/>
    </row>
    <row r="2" spans="1:25" ht="15.8" customHeight="1">
      <c r="A2" s="3" t="s">
        <v>1109</v>
      </c>
      <c r="B2" s="31" t="s">
        <v>969</v>
      </c>
      <c r="C2" s="467">
        <v>4241</v>
      </c>
      <c r="D2" s="1077" t="s">
        <v>885</v>
      </c>
      <c r="F2" s="2" t="s">
        <v>1131</v>
      </c>
    </row>
    <row r="3" spans="1:25" ht="15.8" customHeight="1">
      <c r="A3" s="3" t="s">
        <v>978</v>
      </c>
      <c r="B3" s="31" t="s">
        <v>969</v>
      </c>
      <c r="C3" s="468">
        <v>163</v>
      </c>
      <c r="F3" s="80" t="s">
        <v>1111</v>
      </c>
      <c r="G3" s="80">
        <v>0</v>
      </c>
      <c r="H3" s="80">
        <v>1</v>
      </c>
      <c r="I3" s="80">
        <v>2</v>
      </c>
      <c r="J3" s="80">
        <v>3</v>
      </c>
    </row>
    <row r="4" spans="1:25" ht="15.8" customHeight="1">
      <c r="A4" s="3" t="s">
        <v>961</v>
      </c>
      <c r="B4" s="31" t="s">
        <v>969</v>
      </c>
      <c r="C4" s="468">
        <v>63</v>
      </c>
      <c r="F4" s="94">
        <v>0</v>
      </c>
      <c r="G4" s="95">
        <f>IF(U13&lt;0.78,1,IF(U13&gt;1.4,(1/U13^2),(1.56-0.75*U13)))</f>
        <v>1</v>
      </c>
      <c r="H4" s="95">
        <f>IF(V13&lt;0.78,1,IF(V13&gt;1.4,(1/V13^2),(1.56-0.75*V13)))</f>
        <v>0.81</v>
      </c>
      <c r="I4" s="95">
        <f>IF(W13&lt;0.78,1,IF(W13&gt;1.4,(1/W13^2),(1.56-0.75*W13)))</f>
        <v>0.25</v>
      </c>
      <c r="J4" s="95">
        <f>IF(X13&lt;0.78,1,IF(X13&gt;1.4,(1/X13^2),(1.56-0.75*X13)))</f>
        <v>0.1111111111111111</v>
      </c>
    </row>
    <row r="5" spans="1:25" ht="15.8" customHeight="1">
      <c r="A5" s="3" t="s">
        <v>1132</v>
      </c>
      <c r="B5" s="31" t="s">
        <v>1110</v>
      </c>
      <c r="C5" s="468">
        <v>8000</v>
      </c>
      <c r="F5" s="94">
        <f>F4+0.05</f>
        <v>0.05</v>
      </c>
      <c r="G5" s="95">
        <f t="shared" ref="G5:G23" si="0">IF(U14&lt;0.78,1,IF(U14&gt;1.4,(1/U14^2),(1.56-0.75*U14)))</f>
        <v>1</v>
      </c>
      <c r="H5" s="95">
        <f t="shared" ref="H5:H23" si="1">IF(V14&lt;0.78,1,IF(V14&gt;1.4,(1/V14^2),(1.56-0.75*V14)))</f>
        <v>0.77249999999999996</v>
      </c>
      <c r="I5" s="95">
        <f t="shared" ref="I5:I23" si="2">IF(W14&lt;0.78,1,IF(W14&gt;1.4,(1/W14^2),(1.56-0.75*W14)))</f>
        <v>0.23795359904818561</v>
      </c>
      <c r="J5" s="95">
        <f t="shared" ref="J5:J23" si="3">IF(X14&lt;0.78,1,IF(X14&gt;1.4,(1/X14^2),(1.56-0.75*X14)))</f>
        <v>0.10749798441279228</v>
      </c>
    </row>
    <row r="6" spans="1:25" ht="18" customHeight="1" thickBot="1">
      <c r="A6" s="403" t="s">
        <v>1133</v>
      </c>
      <c r="B6" s="31" t="s">
        <v>1110</v>
      </c>
      <c r="C6" s="469">
        <v>30</v>
      </c>
      <c r="F6" s="94">
        <f t="shared" ref="F6:F23" si="4">F5+0.05</f>
        <v>0.1</v>
      </c>
      <c r="G6" s="95">
        <f t="shared" si="0"/>
        <v>1</v>
      </c>
      <c r="H6" s="95">
        <f t="shared" si="1"/>
        <v>0.73499999999999999</v>
      </c>
      <c r="I6" s="95">
        <f t="shared" si="2"/>
        <v>0.22675736961451246</v>
      </c>
      <c r="J6" s="95">
        <f t="shared" si="3"/>
        <v>0.10405827263267428</v>
      </c>
    </row>
    <row r="7" spans="1:25" ht="15.8" customHeight="1">
      <c r="A7" s="369" t="s">
        <v>1134</v>
      </c>
      <c r="B7" s="47" t="s">
        <v>1110</v>
      </c>
      <c r="C7" s="168">
        <f>0.78*C5*C4^2/C3/C2</f>
        <v>35.82694786361013</v>
      </c>
      <c r="F7" s="94">
        <f t="shared" si="4"/>
        <v>0.15000000000000002</v>
      </c>
      <c r="G7" s="95">
        <f t="shared" si="0"/>
        <v>1</v>
      </c>
      <c r="H7" s="95">
        <f t="shared" si="1"/>
        <v>0.69750000000000012</v>
      </c>
      <c r="I7" s="95">
        <f t="shared" si="2"/>
        <v>0.2163331530557058</v>
      </c>
      <c r="J7" s="95">
        <f t="shared" si="3"/>
        <v>0.10078105316200554</v>
      </c>
    </row>
    <row r="8" spans="1:25" ht="15.8" customHeight="1">
      <c r="A8" s="369" t="s">
        <v>1135</v>
      </c>
      <c r="B8" s="404"/>
      <c r="C8" s="77">
        <f>(C6/C7)^0.5</f>
        <v>0.91507295824220369</v>
      </c>
      <c r="F8" s="94">
        <f t="shared" si="4"/>
        <v>0.2</v>
      </c>
      <c r="G8" s="95">
        <f t="shared" si="0"/>
        <v>1</v>
      </c>
      <c r="H8" s="95">
        <f t="shared" si="1"/>
        <v>0.66000000000000014</v>
      </c>
      <c r="I8" s="95">
        <f t="shared" si="2"/>
        <v>0.20661157024793386</v>
      </c>
      <c r="J8" s="95">
        <f t="shared" si="3"/>
        <v>9.7656249999999986E-2</v>
      </c>
    </row>
    <row r="9" spans="1:25" ht="19.55" customHeight="1">
      <c r="A9" s="405" t="s">
        <v>1136</v>
      </c>
      <c r="B9" s="47"/>
      <c r="C9" s="91">
        <f>IF(C8&lt;0.75,1,IF(C8&gt;1.4,(1/C8^2),(1.56-0.75*C8)))</f>
        <v>0.87369528131834728</v>
      </c>
      <c r="F9" s="94">
        <f t="shared" si="4"/>
        <v>0.25</v>
      </c>
      <c r="G9" s="95">
        <f t="shared" si="0"/>
        <v>1</v>
      </c>
      <c r="H9" s="95">
        <f t="shared" si="1"/>
        <v>0.62250000000000005</v>
      </c>
      <c r="I9" s="95">
        <f t="shared" si="2"/>
        <v>0.19753086419753085</v>
      </c>
      <c r="J9" s="95">
        <f t="shared" si="3"/>
        <v>9.4674556213017749E-2</v>
      </c>
    </row>
    <row r="10" spans="1:25" ht="15.8" customHeight="1">
      <c r="F10" s="94">
        <f t="shared" si="4"/>
        <v>0.3</v>
      </c>
      <c r="G10" s="95">
        <f t="shared" si="0"/>
        <v>1</v>
      </c>
      <c r="H10" s="95">
        <f t="shared" si="1"/>
        <v>0.58499999999999996</v>
      </c>
      <c r="I10" s="95">
        <f t="shared" si="2"/>
        <v>0.18903591682419663</v>
      </c>
      <c r="J10" s="95">
        <f t="shared" si="3"/>
        <v>9.1827364554637289E-2</v>
      </c>
    </row>
    <row r="11" spans="1:25" ht="15.8" customHeight="1">
      <c r="F11" s="94">
        <f t="shared" si="4"/>
        <v>0.35</v>
      </c>
      <c r="G11" s="95">
        <f t="shared" si="0"/>
        <v>1</v>
      </c>
      <c r="H11" s="95">
        <f t="shared" si="1"/>
        <v>0.54749999999999988</v>
      </c>
      <c r="I11" s="95">
        <f t="shared" si="2"/>
        <v>0.18107741059302848</v>
      </c>
      <c r="J11" s="95">
        <f t="shared" si="3"/>
        <v>8.910670527957229E-2</v>
      </c>
    </row>
    <row r="12" spans="1:25" ht="15.8" customHeight="1">
      <c r="B12" s="67" t="s">
        <v>1084</v>
      </c>
      <c r="C12" s="176"/>
      <c r="F12" s="94">
        <f t="shared" si="4"/>
        <v>0.39999999999999997</v>
      </c>
      <c r="G12" s="95">
        <f t="shared" si="0"/>
        <v>1</v>
      </c>
      <c r="H12" s="95">
        <f t="shared" si="1"/>
        <v>0.51000000000000023</v>
      </c>
      <c r="I12" s="95">
        <f t="shared" si="2"/>
        <v>0.1736111111111111</v>
      </c>
      <c r="J12" s="95">
        <f t="shared" si="3"/>
        <v>8.6505190311418692E-2</v>
      </c>
      <c r="K12" s="96"/>
      <c r="L12" s="96"/>
      <c r="M12" s="96"/>
      <c r="N12" s="96"/>
      <c r="O12" s="96"/>
      <c r="P12" s="96"/>
      <c r="Q12" s="96"/>
      <c r="R12" s="96"/>
      <c r="T12" s="97">
        <v>0</v>
      </c>
      <c r="Y12" s="98">
        <v>1</v>
      </c>
    </row>
    <row r="13" spans="1:25" ht="15.8" customHeight="1">
      <c r="B13" s="67" t="s">
        <v>1085</v>
      </c>
      <c r="C13" s="9"/>
      <c r="F13" s="94">
        <f t="shared" si="4"/>
        <v>0.44999999999999996</v>
      </c>
      <c r="G13" s="95">
        <f t="shared" si="0"/>
        <v>1</v>
      </c>
      <c r="H13" s="95">
        <f t="shared" si="1"/>
        <v>0.47562425683709869</v>
      </c>
      <c r="I13" s="95">
        <f t="shared" si="2"/>
        <v>0.16659725114535606</v>
      </c>
      <c r="J13" s="95">
        <f t="shared" si="3"/>
        <v>8.401596303297626E-2</v>
      </c>
      <c r="K13" s="99"/>
      <c r="L13" s="99"/>
      <c r="M13" s="99"/>
      <c r="N13" s="99"/>
      <c r="O13" s="99"/>
      <c r="P13" s="99"/>
      <c r="Q13" s="99"/>
      <c r="R13" s="99"/>
      <c r="T13" s="100">
        <f>T12+0.05</f>
        <v>0.05</v>
      </c>
      <c r="U13" s="15">
        <f t="shared" ref="U13:U32" si="5">$G$3+F4</f>
        <v>0</v>
      </c>
      <c r="V13" s="15">
        <f t="shared" ref="V13:V32" si="6">$H$3+F4</f>
        <v>1</v>
      </c>
      <c r="W13" s="15">
        <f t="shared" ref="W13:W32" si="7">$I$3+F4</f>
        <v>2</v>
      </c>
      <c r="X13" s="15">
        <f t="shared" ref="X13:X32" si="8">$J$3+F4</f>
        <v>3</v>
      </c>
      <c r="Y13" s="98">
        <v>1</v>
      </c>
    </row>
    <row r="14" spans="1:25" ht="15.8" customHeight="1">
      <c r="F14" s="94">
        <f t="shared" si="4"/>
        <v>0.49999999999999994</v>
      </c>
      <c r="G14" s="95">
        <f t="shared" si="0"/>
        <v>1</v>
      </c>
      <c r="H14" s="95">
        <f t="shared" si="1"/>
        <v>0.44444444444444442</v>
      </c>
      <c r="I14" s="95">
        <f t="shared" si="2"/>
        <v>0.16</v>
      </c>
      <c r="J14" s="95">
        <f t="shared" si="3"/>
        <v>8.1632653061224483E-2</v>
      </c>
      <c r="K14" s="99"/>
      <c r="L14" s="99"/>
      <c r="M14" s="99"/>
      <c r="N14" s="99"/>
      <c r="O14" s="99"/>
      <c r="P14" s="99"/>
      <c r="Q14" s="99"/>
      <c r="R14" s="99"/>
      <c r="T14" s="100">
        <f t="shared" ref="T14:T77" si="9">T13+0.05</f>
        <v>0.1</v>
      </c>
      <c r="U14" s="15">
        <f t="shared" si="5"/>
        <v>0.05</v>
      </c>
      <c r="V14" s="15">
        <f t="shared" si="6"/>
        <v>1.05</v>
      </c>
      <c r="W14" s="15">
        <f t="shared" si="7"/>
        <v>2.0499999999999998</v>
      </c>
      <c r="X14" s="15">
        <f t="shared" si="8"/>
        <v>3.05</v>
      </c>
      <c r="Y14" s="98">
        <v>1</v>
      </c>
    </row>
    <row r="15" spans="1:25" ht="15.8" customHeight="1">
      <c r="F15" s="94">
        <f t="shared" si="4"/>
        <v>0.54999999999999993</v>
      </c>
      <c r="G15" s="95">
        <f t="shared" si="0"/>
        <v>1</v>
      </c>
      <c r="H15" s="95">
        <f t="shared" si="1"/>
        <v>0.41623309053069729</v>
      </c>
      <c r="I15" s="95">
        <f t="shared" si="2"/>
        <v>0.15378700499807768</v>
      </c>
      <c r="J15" s="95">
        <f t="shared" si="3"/>
        <v>7.9349335449315619E-2</v>
      </c>
      <c r="K15" s="99"/>
      <c r="L15" s="99"/>
      <c r="M15" s="99"/>
      <c r="N15" s="99"/>
      <c r="O15" s="99"/>
      <c r="P15" s="99"/>
      <c r="Q15" s="99"/>
      <c r="R15" s="99"/>
      <c r="T15" s="100">
        <f t="shared" si="9"/>
        <v>0.15000000000000002</v>
      </c>
      <c r="U15" s="15">
        <f t="shared" si="5"/>
        <v>0.1</v>
      </c>
      <c r="V15" s="15">
        <f t="shared" si="6"/>
        <v>1.1000000000000001</v>
      </c>
      <c r="W15" s="15">
        <f t="shared" si="7"/>
        <v>2.1</v>
      </c>
      <c r="X15" s="15">
        <f t="shared" si="8"/>
        <v>3.1</v>
      </c>
      <c r="Y15" s="98">
        <v>1</v>
      </c>
    </row>
    <row r="16" spans="1:25" ht="15.8" customHeight="1">
      <c r="F16" s="94">
        <f t="shared" si="4"/>
        <v>0.6</v>
      </c>
      <c r="G16" s="95">
        <f t="shared" si="0"/>
        <v>1</v>
      </c>
      <c r="H16" s="95">
        <f t="shared" si="1"/>
        <v>0.39062499999999994</v>
      </c>
      <c r="I16" s="95">
        <f t="shared" si="2"/>
        <v>0.14792899408284022</v>
      </c>
      <c r="J16" s="95">
        <f t="shared" si="3"/>
        <v>7.716049382716049E-2</v>
      </c>
      <c r="K16" s="99"/>
      <c r="L16" s="99"/>
      <c r="M16" s="99"/>
      <c r="N16" s="99"/>
      <c r="O16" s="99"/>
      <c r="P16" s="99"/>
      <c r="Q16" s="99"/>
      <c r="R16" s="99"/>
      <c r="T16" s="100">
        <f t="shared" si="9"/>
        <v>0.2</v>
      </c>
      <c r="U16" s="15">
        <f t="shared" si="5"/>
        <v>0.15000000000000002</v>
      </c>
      <c r="V16" s="15">
        <f t="shared" si="6"/>
        <v>1.1499999999999999</v>
      </c>
      <c r="W16" s="15">
        <f t="shared" si="7"/>
        <v>2.15</v>
      </c>
      <c r="X16" s="15">
        <f t="shared" si="8"/>
        <v>3.15</v>
      </c>
      <c r="Y16" s="98">
        <v>1</v>
      </c>
    </row>
    <row r="17" spans="2:25" ht="15.8" customHeight="1">
      <c r="B17" s="1440" t="s">
        <v>1142</v>
      </c>
      <c r="C17" s="1254"/>
      <c r="D17" s="1254"/>
      <c r="F17" s="94">
        <f t="shared" si="4"/>
        <v>0.65</v>
      </c>
      <c r="G17" s="95">
        <f t="shared" si="0"/>
        <v>1</v>
      </c>
      <c r="H17" s="95">
        <f t="shared" si="1"/>
        <v>0.36730945821854916</v>
      </c>
      <c r="I17" s="95">
        <f t="shared" si="2"/>
        <v>0.1423994304022784</v>
      </c>
      <c r="J17" s="95">
        <f t="shared" si="3"/>
        <v>7.5060987051979736E-2</v>
      </c>
      <c r="K17" s="99"/>
      <c r="L17" s="99"/>
      <c r="M17" s="99"/>
      <c r="N17" s="99"/>
      <c r="O17" s="99"/>
      <c r="P17" s="99"/>
      <c r="Q17" s="99"/>
      <c r="R17" s="99"/>
      <c r="T17" s="100">
        <f t="shared" si="9"/>
        <v>0.25</v>
      </c>
      <c r="U17" s="15">
        <f t="shared" si="5"/>
        <v>0.2</v>
      </c>
      <c r="V17" s="15">
        <f t="shared" si="6"/>
        <v>1.2</v>
      </c>
      <c r="W17" s="15">
        <f t="shared" si="7"/>
        <v>2.2000000000000002</v>
      </c>
      <c r="X17" s="15">
        <f t="shared" si="8"/>
        <v>3.2</v>
      </c>
      <c r="Y17" s="98">
        <v>1</v>
      </c>
    </row>
    <row r="18" spans="2:25" ht="15.8" customHeight="1">
      <c r="F18" s="94">
        <f t="shared" si="4"/>
        <v>0.70000000000000007</v>
      </c>
      <c r="G18" s="95">
        <f t="shared" si="0"/>
        <v>1</v>
      </c>
      <c r="H18" s="95">
        <f t="shared" si="1"/>
        <v>0.34602076124567466</v>
      </c>
      <c r="I18" s="95">
        <f t="shared" si="2"/>
        <v>0.1371742112482853</v>
      </c>
      <c r="J18" s="95">
        <f t="shared" si="3"/>
        <v>7.3046018991964931E-2</v>
      </c>
      <c r="K18" s="99"/>
      <c r="L18" s="99"/>
      <c r="M18" s="99"/>
      <c r="N18" s="99"/>
      <c r="O18" s="99"/>
      <c r="P18" s="99"/>
      <c r="Q18" s="99"/>
      <c r="R18" s="99"/>
      <c r="T18" s="100">
        <f t="shared" si="9"/>
        <v>0.3</v>
      </c>
      <c r="U18" s="15">
        <f t="shared" si="5"/>
        <v>0.25</v>
      </c>
      <c r="V18" s="15">
        <f t="shared" si="6"/>
        <v>1.25</v>
      </c>
      <c r="W18" s="15">
        <f t="shared" si="7"/>
        <v>2.25</v>
      </c>
      <c r="X18" s="15">
        <f t="shared" si="8"/>
        <v>3.25</v>
      </c>
      <c r="Y18" s="98">
        <v>1</v>
      </c>
    </row>
    <row r="19" spans="2:25" ht="15.8" customHeight="1">
      <c r="B19" s="1434" t="s">
        <v>451</v>
      </c>
      <c r="C19" s="1435"/>
      <c r="D19" s="1436"/>
      <c r="F19" s="94">
        <f t="shared" si="4"/>
        <v>0.75000000000000011</v>
      </c>
      <c r="G19" s="95">
        <f t="shared" si="0"/>
        <v>1</v>
      </c>
      <c r="H19" s="95">
        <f t="shared" si="1"/>
        <v>0.32653061224489793</v>
      </c>
      <c r="I19" s="95">
        <f t="shared" si="2"/>
        <v>0.13223140495867769</v>
      </c>
      <c r="J19" s="95">
        <f t="shared" si="3"/>
        <v>7.1111111111111111E-2</v>
      </c>
      <c r="K19" s="99"/>
      <c r="L19" s="99"/>
      <c r="M19" s="99"/>
      <c r="N19" s="99"/>
      <c r="O19" s="99"/>
      <c r="P19" s="99"/>
      <c r="Q19" s="99"/>
      <c r="R19" s="99"/>
      <c r="T19" s="100">
        <f t="shared" si="9"/>
        <v>0.35</v>
      </c>
      <c r="U19" s="15">
        <f t="shared" si="5"/>
        <v>0.3</v>
      </c>
      <c r="V19" s="15">
        <f t="shared" si="6"/>
        <v>1.3</v>
      </c>
      <c r="W19" s="15">
        <f t="shared" si="7"/>
        <v>2.2999999999999998</v>
      </c>
      <c r="X19" s="15">
        <f t="shared" si="8"/>
        <v>3.3</v>
      </c>
      <c r="Y19" s="98">
        <v>1</v>
      </c>
    </row>
    <row r="20" spans="2:25" ht="15.8" customHeight="1">
      <c r="B20" s="1434" t="s">
        <v>490</v>
      </c>
      <c r="C20" s="1435"/>
      <c r="D20" s="1436"/>
      <c r="F20" s="94">
        <f t="shared" si="4"/>
        <v>0.80000000000000016</v>
      </c>
      <c r="G20" s="95">
        <f t="shared" si="0"/>
        <v>0.96</v>
      </c>
      <c r="H20" s="95">
        <f t="shared" si="1"/>
        <v>0.30864197530864185</v>
      </c>
      <c r="I20" s="95">
        <f t="shared" si="2"/>
        <v>0.12755102040816324</v>
      </c>
      <c r="J20" s="95">
        <f t="shared" si="3"/>
        <v>6.9252077562326861E-2</v>
      </c>
      <c r="K20" s="99"/>
      <c r="L20" s="99"/>
      <c r="M20" s="99"/>
      <c r="N20" s="99"/>
      <c r="O20" s="99"/>
      <c r="P20" s="99"/>
      <c r="Q20" s="99"/>
      <c r="R20" s="99"/>
      <c r="T20" s="100">
        <f t="shared" si="9"/>
        <v>0.39999999999999997</v>
      </c>
      <c r="U20" s="15">
        <f t="shared" si="5"/>
        <v>0.35</v>
      </c>
      <c r="V20" s="15">
        <f t="shared" si="6"/>
        <v>1.35</v>
      </c>
      <c r="W20" s="15">
        <f t="shared" si="7"/>
        <v>2.35</v>
      </c>
      <c r="X20" s="15">
        <f t="shared" si="8"/>
        <v>3.35</v>
      </c>
      <c r="Y20" s="98">
        <v>1</v>
      </c>
    </row>
    <row r="21" spans="2:25" ht="15.8" customHeight="1">
      <c r="B21" s="1432" t="s">
        <v>523</v>
      </c>
      <c r="C21" s="1433"/>
      <c r="D21" s="1433"/>
      <c r="F21" s="94">
        <f t="shared" si="4"/>
        <v>0.8500000000000002</v>
      </c>
      <c r="G21" s="95">
        <f t="shared" si="0"/>
        <v>0.92249999999999988</v>
      </c>
      <c r="H21" s="95">
        <f t="shared" si="1"/>
        <v>0.29218407596785972</v>
      </c>
      <c r="I21" s="95">
        <f t="shared" si="2"/>
        <v>0.12311480455524776</v>
      </c>
      <c r="J21" s="95">
        <f t="shared" si="3"/>
        <v>6.746500252993759E-2</v>
      </c>
      <c r="K21" s="99"/>
      <c r="L21" s="99"/>
      <c r="M21" s="99"/>
      <c r="N21" s="99"/>
      <c r="O21" s="99"/>
      <c r="P21" s="99"/>
      <c r="Q21" s="99"/>
      <c r="R21" s="99"/>
      <c r="T21" s="100">
        <f t="shared" si="9"/>
        <v>0.44999999999999996</v>
      </c>
      <c r="U21" s="15">
        <f t="shared" si="5"/>
        <v>0.39999999999999997</v>
      </c>
      <c r="V21" s="15">
        <f t="shared" si="6"/>
        <v>1.4</v>
      </c>
      <c r="W21" s="15">
        <f t="shared" si="7"/>
        <v>2.4</v>
      </c>
      <c r="X21" s="15">
        <f t="shared" si="8"/>
        <v>3.4</v>
      </c>
      <c r="Y21" s="98">
        <v>1</v>
      </c>
    </row>
    <row r="22" spans="2:25" ht="15.8" customHeight="1">
      <c r="F22" s="94">
        <f t="shared" si="4"/>
        <v>0.90000000000000024</v>
      </c>
      <c r="G22" s="95">
        <f t="shared" si="0"/>
        <v>0.8849999999999999</v>
      </c>
      <c r="H22" s="95">
        <f t="shared" si="1"/>
        <v>0.27700831024930739</v>
      </c>
      <c r="I22" s="95">
        <f t="shared" si="2"/>
        <v>0.11890606420927465</v>
      </c>
      <c r="J22" s="95">
        <f t="shared" si="3"/>
        <v>6.5746219592373423E-2</v>
      </c>
      <c r="K22" s="99"/>
      <c r="L22" s="99"/>
      <c r="M22" s="99"/>
      <c r="N22" s="99"/>
      <c r="O22" s="99"/>
      <c r="P22" s="99"/>
      <c r="Q22" s="99"/>
      <c r="R22" s="99"/>
      <c r="T22" s="100">
        <f t="shared" si="9"/>
        <v>0.49999999999999994</v>
      </c>
      <c r="U22" s="15">
        <f t="shared" si="5"/>
        <v>0.44999999999999996</v>
      </c>
      <c r="V22" s="15">
        <f t="shared" si="6"/>
        <v>1.45</v>
      </c>
      <c r="W22" s="15">
        <f t="shared" si="7"/>
        <v>2.4500000000000002</v>
      </c>
      <c r="X22" s="15">
        <f t="shared" si="8"/>
        <v>3.45</v>
      </c>
      <c r="Y22" s="98">
        <v>1</v>
      </c>
    </row>
    <row r="23" spans="2:25" ht="15.8" customHeight="1">
      <c r="F23" s="94">
        <f t="shared" si="4"/>
        <v>0.95000000000000029</v>
      </c>
      <c r="G23" s="95">
        <f t="shared" si="0"/>
        <v>0.84749999999999981</v>
      </c>
      <c r="H23" s="95">
        <f t="shared" si="1"/>
        <v>0.26298487836949369</v>
      </c>
      <c r="I23" s="95">
        <f t="shared" si="2"/>
        <v>0.11490950876185003</v>
      </c>
      <c r="J23" s="95">
        <f t="shared" si="3"/>
        <v>6.4092292901778564E-2</v>
      </c>
      <c r="K23" s="99"/>
      <c r="L23" s="99"/>
      <c r="M23" s="99"/>
      <c r="N23" s="99"/>
      <c r="O23" s="99"/>
      <c r="P23" s="99"/>
      <c r="Q23" s="99"/>
      <c r="R23" s="99"/>
      <c r="T23" s="100">
        <f t="shared" si="9"/>
        <v>0.54999999999999993</v>
      </c>
      <c r="U23" s="15">
        <f t="shared" si="5"/>
        <v>0.49999999999999994</v>
      </c>
      <c r="V23" s="15">
        <f t="shared" si="6"/>
        <v>1.5</v>
      </c>
      <c r="W23" s="15">
        <f t="shared" si="7"/>
        <v>2.5</v>
      </c>
      <c r="X23" s="15">
        <f t="shared" si="8"/>
        <v>3.5</v>
      </c>
      <c r="Y23" s="98">
        <v>1</v>
      </c>
    </row>
    <row r="24" spans="2:25" ht="15.8" customHeight="1">
      <c r="F24" s="101" t="s">
        <v>1137</v>
      </c>
      <c r="K24" s="99"/>
      <c r="L24" s="99"/>
      <c r="M24" s="99"/>
      <c r="N24" s="99"/>
      <c r="O24" s="99"/>
      <c r="P24" s="99"/>
      <c r="Q24" s="99"/>
      <c r="R24" s="99"/>
      <c r="T24" s="100">
        <f t="shared" si="9"/>
        <v>0.6</v>
      </c>
      <c r="U24" s="15">
        <f t="shared" si="5"/>
        <v>0.54999999999999993</v>
      </c>
      <c r="V24" s="15">
        <f t="shared" si="6"/>
        <v>1.5499999999999998</v>
      </c>
      <c r="W24" s="15">
        <f t="shared" si="7"/>
        <v>2.5499999999999998</v>
      </c>
      <c r="X24" s="15">
        <f t="shared" si="8"/>
        <v>3.55</v>
      </c>
      <c r="Y24" s="98">
        <v>1</v>
      </c>
    </row>
    <row r="25" spans="2:25" ht="15.8" customHeight="1">
      <c r="G25" s="101"/>
      <c r="H25" s="101"/>
      <c r="I25" s="101"/>
      <c r="J25" s="101"/>
      <c r="K25" s="99"/>
      <c r="L25" s="99"/>
      <c r="M25" s="99"/>
      <c r="N25" s="99"/>
      <c r="O25" s="99"/>
      <c r="P25" s="99"/>
      <c r="Q25" s="99"/>
      <c r="R25" s="99"/>
      <c r="T25" s="100">
        <f t="shared" si="9"/>
        <v>0.65</v>
      </c>
      <c r="U25" s="15">
        <f t="shared" si="5"/>
        <v>0.6</v>
      </c>
      <c r="V25" s="15">
        <f t="shared" si="6"/>
        <v>1.6</v>
      </c>
      <c r="W25" s="15">
        <f t="shared" si="7"/>
        <v>2.6</v>
      </c>
      <c r="X25" s="15">
        <f t="shared" si="8"/>
        <v>3.6</v>
      </c>
      <c r="Y25" s="98">
        <v>1</v>
      </c>
    </row>
    <row r="26" spans="2:25" ht="15.8" customHeight="1">
      <c r="K26" s="99"/>
      <c r="L26" s="99"/>
      <c r="M26" s="99"/>
      <c r="N26" s="99"/>
      <c r="O26" s="99"/>
      <c r="P26" s="99"/>
      <c r="Q26" s="99"/>
      <c r="R26" s="99"/>
      <c r="T26" s="100">
        <f t="shared" si="9"/>
        <v>0.70000000000000007</v>
      </c>
      <c r="U26" s="15">
        <f t="shared" si="5"/>
        <v>0.65</v>
      </c>
      <c r="V26" s="15">
        <f t="shared" si="6"/>
        <v>1.65</v>
      </c>
      <c r="W26" s="15">
        <f t="shared" si="7"/>
        <v>2.65</v>
      </c>
      <c r="X26" s="15">
        <f t="shared" si="8"/>
        <v>3.65</v>
      </c>
      <c r="Y26" s="98">
        <v>1</v>
      </c>
    </row>
    <row r="27" spans="2:25" ht="15.8" customHeight="1">
      <c r="K27" s="99"/>
      <c r="L27" s="99"/>
      <c r="M27" s="99"/>
      <c r="N27" s="99"/>
      <c r="O27" s="99"/>
      <c r="P27" s="99"/>
      <c r="Q27" s="99"/>
      <c r="R27" s="99"/>
      <c r="T27" s="100">
        <f t="shared" si="9"/>
        <v>0.75000000000000011</v>
      </c>
      <c r="U27" s="15">
        <f t="shared" si="5"/>
        <v>0.70000000000000007</v>
      </c>
      <c r="V27" s="15">
        <f t="shared" si="6"/>
        <v>1.7000000000000002</v>
      </c>
      <c r="W27" s="15">
        <f t="shared" si="7"/>
        <v>2.7</v>
      </c>
      <c r="X27" s="15">
        <f t="shared" si="8"/>
        <v>3.7</v>
      </c>
      <c r="Y27" s="98">
        <v>0.99750000000000005</v>
      </c>
    </row>
    <row r="28" spans="2:25" ht="15.8" customHeight="1">
      <c r="K28" s="99"/>
      <c r="L28" s="99"/>
      <c r="M28" s="99"/>
      <c r="N28" s="99"/>
      <c r="O28" s="99"/>
      <c r="P28" s="99"/>
      <c r="Q28" s="99"/>
      <c r="R28" s="99"/>
      <c r="T28" s="100">
        <f t="shared" si="9"/>
        <v>0.80000000000000016</v>
      </c>
      <c r="U28" s="15">
        <f t="shared" si="5"/>
        <v>0.75000000000000011</v>
      </c>
      <c r="V28" s="15">
        <f t="shared" si="6"/>
        <v>1.75</v>
      </c>
      <c r="W28" s="15">
        <f t="shared" si="7"/>
        <v>2.75</v>
      </c>
      <c r="X28" s="15">
        <f t="shared" si="8"/>
        <v>3.75</v>
      </c>
      <c r="Y28" s="98">
        <v>0.96</v>
      </c>
    </row>
    <row r="29" spans="2:25" ht="15.8" customHeight="1">
      <c r="K29" s="99"/>
      <c r="L29" s="99"/>
      <c r="M29" s="99"/>
      <c r="N29" s="99"/>
      <c r="O29" s="99"/>
      <c r="P29" s="99"/>
      <c r="Q29" s="99"/>
      <c r="R29" s="99"/>
      <c r="T29" s="100">
        <f t="shared" si="9"/>
        <v>0.8500000000000002</v>
      </c>
      <c r="U29" s="15">
        <f t="shared" si="5"/>
        <v>0.80000000000000016</v>
      </c>
      <c r="V29" s="15">
        <f t="shared" si="6"/>
        <v>1.8000000000000003</v>
      </c>
      <c r="W29" s="15">
        <f t="shared" si="7"/>
        <v>2.8000000000000003</v>
      </c>
      <c r="X29" s="15">
        <f t="shared" si="8"/>
        <v>3.8000000000000003</v>
      </c>
      <c r="Y29" s="98">
        <v>0.92249999999999999</v>
      </c>
    </row>
    <row r="30" spans="2:25" ht="15.8" customHeight="1">
      <c r="K30" s="99"/>
      <c r="L30" s="99"/>
      <c r="M30" s="99"/>
      <c r="N30" s="99"/>
      <c r="O30" s="99"/>
      <c r="P30" s="99"/>
      <c r="Q30" s="99"/>
      <c r="R30" s="99"/>
      <c r="T30" s="100">
        <f t="shared" si="9"/>
        <v>0.90000000000000024</v>
      </c>
      <c r="U30" s="15">
        <f t="shared" si="5"/>
        <v>0.8500000000000002</v>
      </c>
      <c r="V30" s="15">
        <f t="shared" si="6"/>
        <v>1.85</v>
      </c>
      <c r="W30" s="15">
        <f t="shared" si="7"/>
        <v>2.85</v>
      </c>
      <c r="X30" s="15">
        <f t="shared" si="8"/>
        <v>3.85</v>
      </c>
      <c r="Y30" s="98">
        <v>0.88500000000000001</v>
      </c>
    </row>
    <row r="31" spans="2:25" ht="15.8" customHeight="1">
      <c r="K31" s="99"/>
      <c r="L31" s="99"/>
      <c r="M31" s="99"/>
      <c r="N31" s="99"/>
      <c r="O31" s="99"/>
      <c r="P31" s="99"/>
      <c r="Q31" s="99"/>
      <c r="R31" s="99"/>
      <c r="T31" s="100">
        <f t="shared" si="9"/>
        <v>0.95000000000000029</v>
      </c>
      <c r="U31" s="15">
        <f t="shared" si="5"/>
        <v>0.90000000000000024</v>
      </c>
      <c r="V31" s="15">
        <f t="shared" si="6"/>
        <v>1.9000000000000004</v>
      </c>
      <c r="W31" s="15">
        <f t="shared" si="7"/>
        <v>2.9000000000000004</v>
      </c>
      <c r="X31" s="15">
        <f t="shared" si="8"/>
        <v>3.9000000000000004</v>
      </c>
      <c r="Y31" s="98">
        <v>0.84750000000000003</v>
      </c>
    </row>
    <row r="32" spans="2:25" ht="15.8" customHeight="1">
      <c r="K32" s="99"/>
      <c r="L32" s="99"/>
      <c r="M32" s="99"/>
      <c r="N32" s="99"/>
      <c r="O32" s="99"/>
      <c r="P32" s="99"/>
      <c r="Q32" s="99"/>
      <c r="R32" s="99"/>
      <c r="T32" s="100">
        <f t="shared" si="9"/>
        <v>1.0000000000000002</v>
      </c>
      <c r="U32" s="15">
        <f t="shared" si="5"/>
        <v>0.95000000000000029</v>
      </c>
      <c r="V32" s="15">
        <f t="shared" si="6"/>
        <v>1.9500000000000002</v>
      </c>
      <c r="W32" s="15">
        <f t="shared" si="7"/>
        <v>2.95</v>
      </c>
      <c r="X32" s="15">
        <f t="shared" si="8"/>
        <v>3.95</v>
      </c>
      <c r="Y32" s="98">
        <v>0.81</v>
      </c>
    </row>
    <row r="33" spans="6:25" ht="15.8" customHeight="1">
      <c r="F33" s="102"/>
      <c r="G33" s="99"/>
      <c r="H33" s="99"/>
      <c r="I33" s="99"/>
      <c r="J33" s="99"/>
      <c r="K33" s="99"/>
      <c r="L33" s="99"/>
      <c r="M33" s="99"/>
      <c r="N33" s="99"/>
      <c r="O33" s="99"/>
      <c r="P33" s="99"/>
      <c r="Q33" s="99"/>
      <c r="R33" s="99"/>
      <c r="T33" s="100">
        <f t="shared" si="9"/>
        <v>1.0500000000000003</v>
      </c>
      <c r="U33" s="15">
        <f>$G$3+F33</f>
        <v>0</v>
      </c>
      <c r="V33" s="15">
        <f>$H$3+F33</f>
        <v>1</v>
      </c>
      <c r="W33" s="15">
        <f>$I$3+F33</f>
        <v>2</v>
      </c>
      <c r="X33" s="15">
        <f>$J$3+F33</f>
        <v>3</v>
      </c>
      <c r="Y33" s="98">
        <v>0.77249999999999996</v>
      </c>
    </row>
    <row r="34" spans="6:25" ht="15.8" customHeight="1">
      <c r="F34" s="70"/>
      <c r="T34" s="100">
        <f t="shared" si="9"/>
        <v>1.1000000000000003</v>
      </c>
      <c r="Y34" s="98">
        <v>0.73499999999999999</v>
      </c>
    </row>
    <row r="35" spans="6:25" ht="15.8" customHeight="1">
      <c r="F35" s="70"/>
      <c r="T35" s="100">
        <f t="shared" si="9"/>
        <v>1.1500000000000004</v>
      </c>
      <c r="Y35" s="98">
        <v>0.69750000000000001</v>
      </c>
    </row>
    <row r="36" spans="6:25" ht="15.8" customHeight="1">
      <c r="F36" s="70"/>
      <c r="T36" s="100">
        <f t="shared" si="9"/>
        <v>1.2000000000000004</v>
      </c>
      <c r="Y36" s="98">
        <v>0.66</v>
      </c>
    </row>
    <row r="37" spans="6:25" ht="15.8" customHeight="1">
      <c r="T37" s="100">
        <f t="shared" si="9"/>
        <v>1.2500000000000004</v>
      </c>
      <c r="Y37" s="98">
        <v>0.62250000000000005</v>
      </c>
    </row>
    <row r="38" spans="6:25" ht="15.8" customHeight="1">
      <c r="T38" s="100">
        <f t="shared" si="9"/>
        <v>1.3000000000000005</v>
      </c>
      <c r="Y38" s="98">
        <v>0.58499999999999996</v>
      </c>
    </row>
    <row r="39" spans="6:25" ht="15.8" customHeight="1">
      <c r="T39" s="100">
        <f t="shared" si="9"/>
        <v>1.3500000000000005</v>
      </c>
      <c r="Y39" s="98">
        <v>0.54749999999999999</v>
      </c>
    </row>
    <row r="40" spans="6:25" ht="15.8" customHeight="1">
      <c r="T40" s="100">
        <f t="shared" si="9"/>
        <v>1.4000000000000006</v>
      </c>
      <c r="Y40" s="98">
        <v>0.51</v>
      </c>
    </row>
    <row r="41" spans="6:25" ht="15.8" customHeight="1">
      <c r="T41" s="100">
        <f t="shared" si="9"/>
        <v>1.4500000000000006</v>
      </c>
      <c r="Y41" s="98">
        <v>0.47562425683709869</v>
      </c>
    </row>
    <row r="42" spans="6:25" ht="15.8" customHeight="1">
      <c r="T42" s="100">
        <f t="shared" si="9"/>
        <v>1.5000000000000007</v>
      </c>
      <c r="Y42" s="98">
        <v>0.44444444444444442</v>
      </c>
    </row>
    <row r="43" spans="6:25" ht="15.8" customHeight="1">
      <c r="T43" s="100">
        <f t="shared" si="9"/>
        <v>1.5500000000000007</v>
      </c>
      <c r="Y43" s="98">
        <v>0.41623309053069729</v>
      </c>
    </row>
    <row r="44" spans="6:25" ht="15.8" customHeight="1">
      <c r="T44" s="100">
        <f t="shared" si="9"/>
        <v>1.6000000000000008</v>
      </c>
      <c r="Y44" s="98">
        <v>0.390625</v>
      </c>
    </row>
    <row r="45" spans="6:25" ht="15.8" customHeight="1">
      <c r="T45" s="100">
        <f t="shared" si="9"/>
        <v>1.6500000000000008</v>
      </c>
      <c r="Y45" s="98">
        <v>0.36730945821854916</v>
      </c>
    </row>
    <row r="46" spans="6:25">
      <c r="T46" s="100">
        <f t="shared" si="9"/>
        <v>1.7000000000000008</v>
      </c>
      <c r="Y46" s="98">
        <v>0.34602076124567466</v>
      </c>
    </row>
    <row r="47" spans="6:25">
      <c r="T47" s="100">
        <f t="shared" si="9"/>
        <v>1.7500000000000009</v>
      </c>
      <c r="Y47" s="98">
        <v>0.32653061224489793</v>
      </c>
    </row>
    <row r="48" spans="6:25">
      <c r="T48" s="100">
        <f t="shared" si="9"/>
        <v>1.8000000000000009</v>
      </c>
      <c r="Y48" s="98">
        <v>0.30864197530864185</v>
      </c>
    </row>
    <row r="49" spans="20:25">
      <c r="T49" s="100">
        <f t="shared" si="9"/>
        <v>1.850000000000001</v>
      </c>
      <c r="Y49" s="98">
        <v>0.29218407596785972</v>
      </c>
    </row>
    <row r="50" spans="20:25">
      <c r="T50" s="100">
        <f t="shared" si="9"/>
        <v>1.900000000000001</v>
      </c>
      <c r="Y50" s="98">
        <v>0.27700831024930739</v>
      </c>
    </row>
    <row r="51" spans="20:25">
      <c r="T51" s="100">
        <f t="shared" si="9"/>
        <v>1.9500000000000011</v>
      </c>
      <c r="Y51" s="98">
        <v>0.26298487836949369</v>
      </c>
    </row>
    <row r="52" spans="20:25">
      <c r="T52" s="100">
        <f t="shared" si="9"/>
        <v>2.0000000000000009</v>
      </c>
      <c r="Y52" s="98">
        <v>0.25</v>
      </c>
    </row>
    <row r="53" spans="20:25">
      <c r="T53" s="100">
        <f t="shared" si="9"/>
        <v>2.0500000000000007</v>
      </c>
      <c r="Y53" s="98">
        <v>0.23795359904818561</v>
      </c>
    </row>
    <row r="54" spans="20:25">
      <c r="T54" s="100">
        <f t="shared" si="9"/>
        <v>2.1000000000000005</v>
      </c>
      <c r="Y54" s="98">
        <v>0.22675736961451246</v>
      </c>
    </row>
    <row r="55" spans="20:25">
      <c r="T55" s="100">
        <f t="shared" si="9"/>
        <v>2.1500000000000004</v>
      </c>
      <c r="Y55" s="98">
        <v>0.2163331530557058</v>
      </c>
    </row>
    <row r="56" spans="20:25">
      <c r="T56" s="100">
        <f t="shared" si="9"/>
        <v>2.2000000000000002</v>
      </c>
      <c r="Y56" s="98">
        <v>0.20661157024793386</v>
      </c>
    </row>
    <row r="57" spans="20:25">
      <c r="T57" s="100">
        <f t="shared" si="9"/>
        <v>2.25</v>
      </c>
      <c r="Y57" s="98">
        <v>0.19753086419753085</v>
      </c>
    </row>
    <row r="58" spans="20:25">
      <c r="T58" s="100">
        <f t="shared" si="9"/>
        <v>2.2999999999999998</v>
      </c>
      <c r="Y58" s="98">
        <v>0.18903591682419663</v>
      </c>
    </row>
    <row r="59" spans="20:25">
      <c r="T59" s="100">
        <f t="shared" si="9"/>
        <v>2.3499999999999996</v>
      </c>
      <c r="Y59" s="98">
        <v>0.18107741059302848</v>
      </c>
    </row>
    <row r="60" spans="20:25">
      <c r="T60" s="100">
        <f t="shared" si="9"/>
        <v>2.3999999999999995</v>
      </c>
      <c r="Y60" s="98">
        <v>0.1736111111111111</v>
      </c>
    </row>
    <row r="61" spans="20:25">
      <c r="T61" s="100">
        <f t="shared" si="9"/>
        <v>2.4499999999999993</v>
      </c>
      <c r="Y61" s="98">
        <v>0.16659725114535606</v>
      </c>
    </row>
    <row r="62" spans="20:25">
      <c r="T62" s="100">
        <f t="shared" si="9"/>
        <v>2.4999999999999991</v>
      </c>
      <c r="Y62" s="98">
        <v>0.16</v>
      </c>
    </row>
    <row r="63" spans="20:25">
      <c r="T63" s="100">
        <f t="shared" si="9"/>
        <v>2.5499999999999989</v>
      </c>
      <c r="Y63" s="98">
        <v>0.15378700499807768</v>
      </c>
    </row>
    <row r="64" spans="20:25">
      <c r="T64" s="100">
        <f t="shared" si="9"/>
        <v>2.5999999999999988</v>
      </c>
      <c r="Y64" s="98">
        <v>0.14792899408284022</v>
      </c>
    </row>
    <row r="65" spans="20:25">
      <c r="T65" s="100">
        <f t="shared" si="9"/>
        <v>2.6499999999999986</v>
      </c>
      <c r="Y65" s="98">
        <v>0.1423994304022784</v>
      </c>
    </row>
    <row r="66" spans="20:25">
      <c r="T66" s="100">
        <f t="shared" si="9"/>
        <v>2.6999999999999984</v>
      </c>
      <c r="Y66" s="98">
        <v>0.1371742112482853</v>
      </c>
    </row>
    <row r="67" spans="20:25">
      <c r="T67" s="100">
        <f t="shared" si="9"/>
        <v>2.7499999999999982</v>
      </c>
      <c r="Y67" s="98">
        <v>0.13223140495867769</v>
      </c>
    </row>
    <row r="68" spans="20:25">
      <c r="T68" s="100">
        <f t="shared" si="9"/>
        <v>2.799999999999998</v>
      </c>
      <c r="Y68" s="98">
        <v>0.12755102040816324</v>
      </c>
    </row>
    <row r="69" spans="20:25">
      <c r="T69" s="100">
        <f t="shared" si="9"/>
        <v>2.8499999999999979</v>
      </c>
      <c r="Y69" s="98">
        <v>0.12311480455524776</v>
      </c>
    </row>
    <row r="70" spans="20:25">
      <c r="T70" s="100">
        <f t="shared" si="9"/>
        <v>2.8999999999999977</v>
      </c>
      <c r="Y70" s="98">
        <v>0.11890606420927465</v>
      </c>
    </row>
    <row r="71" spans="20:25">
      <c r="T71" s="100">
        <f t="shared" si="9"/>
        <v>2.9499999999999975</v>
      </c>
      <c r="Y71" s="98">
        <v>0.11490950876185003</v>
      </c>
    </row>
    <row r="72" spans="20:25">
      <c r="T72" s="100">
        <f t="shared" si="9"/>
        <v>2.9999999999999973</v>
      </c>
      <c r="Y72" s="103">
        <v>0.1111111111111111</v>
      </c>
    </row>
    <row r="73" spans="20:25">
      <c r="T73" s="100">
        <f t="shared" si="9"/>
        <v>3.0499999999999972</v>
      </c>
      <c r="Y73" s="103">
        <v>0.10749798441279228</v>
      </c>
    </row>
    <row r="74" spans="20:25">
      <c r="T74" s="100">
        <f t="shared" si="9"/>
        <v>3.099999999999997</v>
      </c>
      <c r="Y74" s="103">
        <v>0.10405827263267428</v>
      </c>
    </row>
    <row r="75" spans="20:25">
      <c r="T75" s="100">
        <f t="shared" si="9"/>
        <v>3.1499999999999968</v>
      </c>
      <c r="Y75" s="103">
        <v>0.10078105316200554</v>
      </c>
    </row>
    <row r="76" spans="20:25">
      <c r="T76" s="100">
        <f t="shared" si="9"/>
        <v>3.1999999999999966</v>
      </c>
      <c r="Y76" s="103">
        <v>9.765625E-2</v>
      </c>
    </row>
    <row r="77" spans="20:25">
      <c r="T77" s="100">
        <f t="shared" si="9"/>
        <v>3.2499999999999964</v>
      </c>
      <c r="Y77" s="103">
        <v>9.4674556213017749E-2</v>
      </c>
    </row>
    <row r="78" spans="20:25">
      <c r="T78" s="100">
        <f t="shared" ref="T78:T91" si="10">T77+0.05</f>
        <v>3.2999999999999963</v>
      </c>
      <c r="Y78" s="103">
        <v>9.1827364554637289E-2</v>
      </c>
    </row>
    <row r="79" spans="20:25">
      <c r="T79" s="100">
        <f t="shared" si="10"/>
        <v>3.3499999999999961</v>
      </c>
      <c r="Y79" s="103">
        <v>8.910670527957229E-2</v>
      </c>
    </row>
    <row r="80" spans="20:25">
      <c r="T80" s="100">
        <f t="shared" si="10"/>
        <v>3.3999999999999959</v>
      </c>
      <c r="Y80" s="103">
        <v>8.6505190311418692E-2</v>
      </c>
    </row>
    <row r="81" spans="20:25">
      <c r="T81" s="100">
        <f t="shared" si="10"/>
        <v>3.4499999999999957</v>
      </c>
      <c r="Y81" s="103">
        <v>8.401596303297626E-2</v>
      </c>
    </row>
    <row r="82" spans="20:25">
      <c r="T82" s="100">
        <f t="shared" si="10"/>
        <v>3.4999999999999956</v>
      </c>
      <c r="Y82" s="103">
        <v>8.1632653061224483E-2</v>
      </c>
    </row>
    <row r="83" spans="20:25">
      <c r="T83" s="100">
        <f t="shared" si="10"/>
        <v>3.5499999999999954</v>
      </c>
      <c r="Y83" s="103">
        <v>7.9349335449315619E-2</v>
      </c>
    </row>
    <row r="84" spans="20:25">
      <c r="T84" s="100">
        <f t="shared" si="10"/>
        <v>3.5999999999999952</v>
      </c>
      <c r="Y84" s="103">
        <v>7.716049382716049E-2</v>
      </c>
    </row>
    <row r="85" spans="20:25">
      <c r="T85" s="100">
        <f t="shared" si="10"/>
        <v>3.649999999999995</v>
      </c>
      <c r="Y85" s="103">
        <v>7.5060987051979736E-2</v>
      </c>
    </row>
    <row r="86" spans="20:25">
      <c r="T86" s="100">
        <f t="shared" si="10"/>
        <v>3.6999999999999948</v>
      </c>
      <c r="Y86" s="103">
        <v>7.3046018991964931E-2</v>
      </c>
    </row>
    <row r="87" spans="20:25">
      <c r="T87" s="100">
        <f t="shared" si="10"/>
        <v>3.7499999999999947</v>
      </c>
      <c r="Y87" s="103">
        <v>7.1111111111111111E-2</v>
      </c>
    </row>
    <row r="88" spans="20:25">
      <c r="T88" s="100">
        <f t="shared" si="10"/>
        <v>3.7999999999999945</v>
      </c>
      <c r="Y88" s="103">
        <v>6.9252077562326861E-2</v>
      </c>
    </row>
    <row r="89" spans="20:25">
      <c r="T89" s="100">
        <f t="shared" si="10"/>
        <v>3.8499999999999943</v>
      </c>
      <c r="Y89" s="103">
        <v>6.746500252993759E-2</v>
      </c>
    </row>
    <row r="90" spans="20:25">
      <c r="T90" s="100">
        <f t="shared" si="10"/>
        <v>3.8999999999999941</v>
      </c>
      <c r="Y90" s="103">
        <v>6.5746219592373423E-2</v>
      </c>
    </row>
    <row r="91" spans="20:25">
      <c r="T91" s="100">
        <f t="shared" si="10"/>
        <v>3.949999999999994</v>
      </c>
      <c r="Y91" s="103">
        <v>6.4092292901778564E-2</v>
      </c>
    </row>
  </sheetData>
  <mergeCells count="5">
    <mergeCell ref="B21:D21"/>
    <mergeCell ref="B19:D19"/>
    <mergeCell ref="B20:D20"/>
    <mergeCell ref="A1:J1"/>
    <mergeCell ref="B17:D17"/>
  </mergeCells>
  <phoneticPr fontId="2" type="noConversion"/>
  <hyperlinks>
    <hyperlink ref="B17" location="'M1'!A1" display="RETOUR MENU"/>
    <hyperlink ref="B19" location="'27'!A1" display="RETOUR FLEXION"/>
    <hyperlink ref="B20" location="'27'!A1" display="RETOUR FLEXION"/>
    <hyperlink ref="B21" location="'27'!A1" display="RETOUR FLEXION"/>
    <hyperlink ref="B21:D21" location="'37'!A1" display="RETOUR FLEXION OBLIQUE"/>
  </hyperlinks>
  <pageMargins left="0.78740157499999996" right="0.78740157499999996" top="0.984251969" bottom="0.984251969" header="0.4921259845" footer="0.4921259845"/>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dimension ref="A1:AS123"/>
  <sheetViews>
    <sheetView workbookViewId="0">
      <selection activeCell="C20" sqref="C20:D20"/>
    </sheetView>
  </sheetViews>
  <sheetFormatPr baseColWidth="10" defaultRowHeight="12.9"/>
  <cols>
    <col min="1" max="1" width="16.375" customWidth="1"/>
    <col min="2" max="2" width="9.75" style="1" customWidth="1"/>
    <col min="3" max="3" width="11.625" bestFit="1" customWidth="1"/>
    <col min="4" max="4" width="25.875" customWidth="1"/>
    <col min="5" max="5" width="7.75" style="287" customWidth="1"/>
    <col min="6" max="10" width="7.75" customWidth="1"/>
    <col min="24" max="29" width="10.75" customWidth="1"/>
    <col min="32" max="32" width="13" customWidth="1"/>
    <col min="34" max="34" width="11.625" bestFit="1" customWidth="1"/>
    <col min="36" max="36" width="13.625" bestFit="1" customWidth="1"/>
  </cols>
  <sheetData>
    <row r="1" spans="1:45" ht="27.85">
      <c r="A1" s="1437" t="s">
        <v>381</v>
      </c>
      <c r="B1" s="1438"/>
      <c r="C1" s="1446"/>
      <c r="D1" s="1446"/>
      <c r="E1" s="84"/>
      <c r="F1" s="280"/>
    </row>
    <row r="2" spans="1:45" ht="25.85" thickBot="1">
      <c r="A2" s="521"/>
      <c r="B2" s="512"/>
      <c r="C2" s="513"/>
      <c r="D2" s="1077" t="s">
        <v>885</v>
      </c>
      <c r="E2" s="84"/>
      <c r="F2" s="280"/>
    </row>
    <row r="3" spans="1:45" ht="15.8" customHeight="1">
      <c r="A3" s="515" t="s">
        <v>378</v>
      </c>
      <c r="B3" s="516" t="s">
        <v>969</v>
      </c>
      <c r="C3" s="467">
        <v>5500</v>
      </c>
      <c r="D3" s="1449" t="s">
        <v>564</v>
      </c>
    </row>
    <row r="4" spans="1:45" ht="15.8" customHeight="1">
      <c r="A4" s="517" t="s">
        <v>379</v>
      </c>
      <c r="B4" s="167" t="s">
        <v>969</v>
      </c>
      <c r="C4" s="483">
        <v>2750</v>
      </c>
      <c r="D4" s="1450"/>
      <c r="AE4" s="1" t="s">
        <v>384</v>
      </c>
      <c r="AF4" s="337">
        <f>(C6*C5^3)/12</f>
        <v>88733333.333333328</v>
      </c>
      <c r="AG4" s="1" t="s">
        <v>386</v>
      </c>
      <c r="AH4" s="338">
        <f>(AF4/(C5*C6))^0.5</f>
        <v>63.50852961085883</v>
      </c>
      <c r="AI4" s="1" t="s">
        <v>387</v>
      </c>
      <c r="AJ4" s="15">
        <f>C3/AH4</f>
        <v>86.602540378443877</v>
      </c>
      <c r="AK4" t="s">
        <v>388</v>
      </c>
      <c r="AL4" s="336">
        <f>(AJ4/PI())*(C11/C10)^0.5</f>
        <v>1.5061157685950133</v>
      </c>
      <c r="AM4" t="s">
        <v>393</v>
      </c>
      <c r="AN4">
        <f>0.5*(1+(AM9*(AL4-0.3))+(AL4^2))</f>
        <v>1.7548039310647752</v>
      </c>
      <c r="AO4" t="s">
        <v>394</v>
      </c>
      <c r="AP4">
        <f>1/(AN4+(((AN4^2)-(AL4^2)))^0.5)</f>
        <v>0.37660063710136982</v>
      </c>
    </row>
    <row r="5" spans="1:45" ht="15.8" customHeight="1">
      <c r="A5" s="517" t="s">
        <v>978</v>
      </c>
      <c r="B5" s="167" t="s">
        <v>969</v>
      </c>
      <c r="C5" s="468">
        <v>220</v>
      </c>
      <c r="D5" s="1450"/>
      <c r="AE5" s="1" t="s">
        <v>383</v>
      </c>
      <c r="AF5" s="337">
        <f>(C6^3*C5)/12</f>
        <v>18333333.333333332</v>
      </c>
      <c r="AG5" s="1" t="s">
        <v>385</v>
      </c>
      <c r="AH5" s="338">
        <f>(AF5/(C6*C5))^0.5</f>
        <v>28.867513459481287</v>
      </c>
      <c r="AI5" s="1" t="s">
        <v>387</v>
      </c>
      <c r="AJ5" s="15">
        <f>C4/AH5</f>
        <v>95.262794416288259</v>
      </c>
      <c r="AK5" t="s">
        <v>388</v>
      </c>
      <c r="AL5" s="336">
        <f>(AJ5/PI())*($C$11/$C$10)^0.5</f>
        <v>1.6567273454545146</v>
      </c>
      <c r="AM5" t="s">
        <v>393</v>
      </c>
      <c r="AN5">
        <f>0.5*(1+($AM$9*(AL5-0.3))+(AL5^2))</f>
        <v>2.0080454831338326</v>
      </c>
      <c r="AO5" t="s">
        <v>394</v>
      </c>
      <c r="AP5">
        <f>1/(AN5+(((AN5^2)-(AL5^2)))^0.5)</f>
        <v>0.31819503805054467</v>
      </c>
    </row>
    <row r="6" spans="1:45" ht="15.8" customHeight="1" thickBot="1">
      <c r="A6" s="518" t="s">
        <v>961</v>
      </c>
      <c r="B6" s="519" t="s">
        <v>969</v>
      </c>
      <c r="C6" s="469">
        <v>100</v>
      </c>
      <c r="D6" s="1451"/>
      <c r="AE6" t="s">
        <v>563</v>
      </c>
      <c r="AF6">
        <f>PI()*(C8^4)/64</f>
        <v>397607820.21995819</v>
      </c>
      <c r="AG6" s="1" t="s">
        <v>1103</v>
      </c>
      <c r="AH6" s="338">
        <f>(AF6/((C8/2)^2*PI()))^0.5</f>
        <v>75</v>
      </c>
      <c r="AI6" s="1" t="s">
        <v>387</v>
      </c>
      <c r="AJ6" s="15">
        <f>C7/AH6</f>
        <v>93.333333333333329</v>
      </c>
      <c r="AK6" t="s">
        <v>388</v>
      </c>
      <c r="AL6" s="336">
        <f>(AJ6/PI())*($C$11/$C$10)^0.5</f>
        <v>1.6231718429342659</v>
      </c>
      <c r="AM6" t="s">
        <v>393</v>
      </c>
      <c r="AN6">
        <f>0.5*(1+($AM$9*(AL6-0.3))+(AL6^2))</f>
        <v>1.9496606001407371</v>
      </c>
      <c r="AO6" t="s">
        <v>394</v>
      </c>
      <c r="AP6">
        <f>1/(AN6+(((AN6^2)-(AL6^2)))^0.5)</f>
        <v>0.33006545516618235</v>
      </c>
    </row>
    <row r="7" spans="1:45" ht="15.8" customHeight="1">
      <c r="A7" s="515" t="s">
        <v>566</v>
      </c>
      <c r="B7" s="516" t="s">
        <v>969</v>
      </c>
      <c r="C7" s="467">
        <v>7000</v>
      </c>
      <c r="D7" s="1452" t="s">
        <v>565</v>
      </c>
      <c r="AG7" s="1"/>
      <c r="AH7" s="338"/>
      <c r="AI7" s="1"/>
      <c r="AJ7" s="15"/>
    </row>
    <row r="8" spans="1:45" ht="15.8" customHeight="1" thickBot="1">
      <c r="A8" s="518" t="s">
        <v>526</v>
      </c>
      <c r="B8" s="519" t="s">
        <v>969</v>
      </c>
      <c r="C8" s="469">
        <v>300</v>
      </c>
      <c r="D8" s="1453"/>
    </row>
    <row r="9" spans="1:45" ht="15.8" customHeight="1">
      <c r="A9" s="520" t="s">
        <v>391</v>
      </c>
      <c r="B9" s="514" t="s">
        <v>389</v>
      </c>
      <c r="C9" s="483">
        <v>1</v>
      </c>
      <c r="D9" t="s">
        <v>390</v>
      </c>
      <c r="AL9" t="s">
        <v>392</v>
      </c>
      <c r="AM9">
        <f>IF(C9=1,0.2,0.1)</f>
        <v>0.2</v>
      </c>
    </row>
    <row r="10" spans="1:45" ht="15.8" customHeight="1">
      <c r="A10" s="335" t="s">
        <v>382</v>
      </c>
      <c r="B10" s="167" t="s">
        <v>1110</v>
      </c>
      <c r="C10" s="468">
        <v>6700</v>
      </c>
    </row>
    <row r="11" spans="1:45" ht="18" customHeight="1" thickBot="1">
      <c r="A11" s="105" t="s">
        <v>380</v>
      </c>
      <c r="B11" s="167" t="s">
        <v>1110</v>
      </c>
      <c r="C11" s="469">
        <v>20</v>
      </c>
      <c r="AM11" s="633">
        <v>1</v>
      </c>
      <c r="AN11" t="s">
        <v>567</v>
      </c>
      <c r="AQ11">
        <f>MIN(AP4:AP5)</f>
        <v>0.31819503805054467</v>
      </c>
      <c r="AR11" s="336">
        <f>MIN(AL4:AL5)</f>
        <v>1.5061157685950133</v>
      </c>
      <c r="AS11" t="str">
        <f>IF(AR11=AL4,"AXE FAIBLE","AXE FORT")</f>
        <v>AXE FAIBLE</v>
      </c>
    </row>
    <row r="12" spans="1:45" ht="21.75" customHeight="1">
      <c r="A12" s="105" t="s">
        <v>1286</v>
      </c>
      <c r="B12" s="67"/>
      <c r="C12" s="1220">
        <f>AM12</f>
        <v>0.31819503805054467</v>
      </c>
      <c r="AM12">
        <f>INDEX(AQ11:AQ12,AM11,1)</f>
        <v>0.31819503805054467</v>
      </c>
      <c r="AN12" t="s">
        <v>568</v>
      </c>
      <c r="AQ12">
        <f>AP6</f>
        <v>0.33006545516618235</v>
      </c>
      <c r="AR12" s="336">
        <f>AL6</f>
        <v>1.6231718429342659</v>
      </c>
    </row>
    <row r="13" spans="1:45" ht="10.55" customHeight="1">
      <c r="AM13">
        <f>INDEX(AR11:AR12,AM11,1)</f>
        <v>1.5061157685950133</v>
      </c>
    </row>
    <row r="14" spans="1:45" ht="9.6999999999999993" customHeight="1">
      <c r="K14" s="287"/>
      <c r="L14" s="287"/>
      <c r="M14" s="287"/>
      <c r="N14" s="287"/>
      <c r="O14" s="287"/>
      <c r="P14" s="287"/>
      <c r="Q14" s="287"/>
      <c r="R14" s="287"/>
      <c r="S14" s="287"/>
      <c r="T14" s="287"/>
      <c r="U14" s="287"/>
      <c r="V14" s="287"/>
      <c r="W14" s="287"/>
      <c r="X14" s="287"/>
      <c r="Y14" s="287"/>
      <c r="Z14" s="287"/>
      <c r="AA14" s="287"/>
      <c r="AB14" s="287"/>
      <c r="AC14" s="287"/>
    </row>
    <row r="15" spans="1:45" ht="18" customHeight="1">
      <c r="A15" s="1221" t="s">
        <v>1287</v>
      </c>
      <c r="B15" s="1218"/>
      <c r="C15" s="1219">
        <f>+AP4</f>
        <v>0.37660063710136982</v>
      </c>
      <c r="E15" s="96"/>
      <c r="F15" s="96"/>
      <c r="G15" s="96"/>
      <c r="H15" s="96"/>
      <c r="I15" s="96"/>
      <c r="J15" s="96"/>
      <c r="K15" s="287"/>
      <c r="L15" s="287"/>
      <c r="M15" s="287"/>
      <c r="N15" s="287"/>
      <c r="O15" s="287"/>
      <c r="P15" s="287"/>
      <c r="Q15" s="287"/>
      <c r="R15" s="287"/>
      <c r="S15" s="287"/>
      <c r="T15" s="287"/>
      <c r="U15" s="287"/>
      <c r="V15" s="287"/>
      <c r="W15" s="287"/>
      <c r="X15" s="339"/>
      <c r="Y15" s="287"/>
      <c r="Z15" s="287"/>
      <c r="AA15" s="287"/>
      <c r="AB15" s="287"/>
      <c r="AC15" s="98"/>
    </row>
    <row r="16" spans="1:45" ht="18" customHeight="1" thickBot="1">
      <c r="A16" s="1221" t="s">
        <v>1288</v>
      </c>
      <c r="B16" s="1218"/>
      <c r="C16" s="1219">
        <f>AP5</f>
        <v>0.31819503805054467</v>
      </c>
      <c r="E16" s="99"/>
      <c r="F16" s="99"/>
      <c r="G16" s="99"/>
      <c r="H16" s="99"/>
      <c r="I16" s="99"/>
      <c r="J16" s="99"/>
      <c r="K16" s="287"/>
      <c r="L16" s="287"/>
      <c r="M16" s="287"/>
      <c r="N16" s="287"/>
      <c r="O16" s="287"/>
      <c r="P16" s="287"/>
      <c r="Q16" s="287"/>
      <c r="R16" s="287"/>
      <c r="S16" s="287"/>
      <c r="T16" s="287"/>
      <c r="U16" s="287"/>
      <c r="V16" s="287"/>
      <c r="W16" s="287"/>
      <c r="X16" s="99"/>
      <c r="Y16" s="340"/>
      <c r="Z16" s="340"/>
      <c r="AA16" s="340"/>
      <c r="AB16" s="340"/>
      <c r="AC16" s="98"/>
    </row>
    <row r="17" spans="1:29" ht="15.8" customHeight="1" thickBot="1">
      <c r="A17" s="1209" t="s">
        <v>1278</v>
      </c>
      <c r="B17" s="1210"/>
      <c r="C17" s="1208">
        <f>AM13</f>
        <v>1.5061157685950133</v>
      </c>
      <c r="D17" s="170" t="str">
        <f>AS11</f>
        <v>AXE FAIBLE</v>
      </c>
      <c r="E17" s="99"/>
      <c r="F17" s="99"/>
      <c r="G17" s="99"/>
      <c r="H17" s="99"/>
      <c r="I17" s="99"/>
      <c r="J17" s="99"/>
      <c r="K17" s="287"/>
      <c r="L17" s="287"/>
      <c r="M17" s="287"/>
      <c r="N17" s="287"/>
      <c r="O17" s="287"/>
      <c r="P17" s="287"/>
      <c r="Q17" s="287"/>
      <c r="R17" s="287"/>
      <c r="S17" s="287"/>
      <c r="T17" s="287"/>
      <c r="U17" s="287"/>
      <c r="V17" s="287"/>
      <c r="W17" s="287"/>
      <c r="X17" s="99"/>
      <c r="Y17" s="340"/>
      <c r="Z17" s="340"/>
      <c r="AA17" s="340"/>
      <c r="AB17" s="340"/>
      <c r="AC17" s="98"/>
    </row>
    <row r="18" spans="1:29" ht="15.8" customHeight="1" thickBot="1">
      <c r="A18" s="1444" t="s">
        <v>570</v>
      </c>
      <c r="B18" s="1445"/>
      <c r="C18" s="1207">
        <f>IF(AM11=2,AJ6,MAX(AJ4:AJ5))</f>
        <v>95.262794416288259</v>
      </c>
      <c r="E18" s="99"/>
      <c r="F18" s="99"/>
      <c r="G18" s="99"/>
      <c r="H18" s="99"/>
      <c r="I18" s="99"/>
      <c r="J18" s="99"/>
      <c r="K18" s="287"/>
      <c r="L18" s="287"/>
      <c r="M18" s="287"/>
      <c r="N18" s="287"/>
      <c r="O18" s="287"/>
      <c r="P18" s="287"/>
      <c r="Q18" s="287"/>
      <c r="R18" s="287"/>
      <c r="S18" s="287"/>
      <c r="T18" s="287"/>
      <c r="U18" s="287"/>
      <c r="V18" s="287"/>
      <c r="W18" s="287"/>
      <c r="X18" s="99"/>
      <c r="Y18" s="340"/>
      <c r="Z18" s="340"/>
      <c r="AA18" s="340"/>
      <c r="AB18" s="340"/>
      <c r="AC18" s="98"/>
    </row>
    <row r="19" spans="1:29" ht="15.8" customHeight="1">
      <c r="E19" s="99"/>
      <c r="F19" s="99"/>
      <c r="G19" s="99"/>
      <c r="H19" s="99"/>
      <c r="I19" s="99"/>
      <c r="J19" s="99"/>
      <c r="K19" s="287"/>
      <c r="L19" s="287"/>
      <c r="M19" s="287"/>
      <c r="N19" s="287"/>
      <c r="O19" s="287"/>
      <c r="P19" s="287"/>
      <c r="Q19" s="287"/>
      <c r="R19" s="287"/>
      <c r="S19" s="287"/>
      <c r="T19" s="287"/>
      <c r="U19" s="287"/>
      <c r="V19" s="287"/>
      <c r="W19" s="287"/>
      <c r="X19" s="99"/>
      <c r="Y19" s="340"/>
      <c r="Z19" s="340"/>
      <c r="AA19" s="340"/>
      <c r="AB19" s="340"/>
      <c r="AC19" s="98"/>
    </row>
    <row r="20" spans="1:29" ht="15.8" customHeight="1" thickBot="1">
      <c r="A20" s="67" t="s">
        <v>1084</v>
      </c>
      <c r="B20" s="176"/>
      <c r="C20" s="1447" t="s">
        <v>1142</v>
      </c>
      <c r="D20" s="1448"/>
      <c r="E20" s="99"/>
      <c r="F20" s="99"/>
      <c r="G20" s="99"/>
      <c r="H20" s="99"/>
      <c r="I20" s="99"/>
      <c r="J20" s="99"/>
      <c r="K20" s="287"/>
      <c r="L20" s="287"/>
      <c r="M20" s="287"/>
      <c r="N20" s="287"/>
      <c r="O20" s="287"/>
      <c r="P20" s="287"/>
      <c r="Q20" s="287"/>
      <c r="R20" s="287"/>
      <c r="S20" s="287"/>
      <c r="T20" s="287"/>
      <c r="U20" s="287"/>
      <c r="V20" s="287"/>
      <c r="W20" s="287"/>
      <c r="X20" s="99"/>
      <c r="Y20" s="340"/>
      <c r="Z20" s="340"/>
      <c r="AA20" s="340"/>
      <c r="AB20" s="340"/>
      <c r="AC20" s="98"/>
    </row>
    <row r="21" spans="1:29" ht="15.8" customHeight="1" thickBot="1">
      <c r="A21" s="67" t="s">
        <v>1085</v>
      </c>
      <c r="B21" s="9"/>
      <c r="C21" s="1441" t="s">
        <v>453</v>
      </c>
      <c r="D21" s="1442"/>
      <c r="E21" s="99"/>
      <c r="F21" s="99"/>
      <c r="G21" s="99"/>
      <c r="H21" s="99"/>
      <c r="I21" s="99"/>
      <c r="J21" s="99"/>
      <c r="K21" s="287"/>
      <c r="L21" s="287"/>
      <c r="M21" s="287"/>
      <c r="N21" s="287"/>
      <c r="O21" s="287"/>
      <c r="P21" s="287"/>
      <c r="Q21" s="287"/>
      <c r="R21" s="287"/>
      <c r="S21" s="287"/>
      <c r="T21" s="287"/>
      <c r="U21" s="287"/>
      <c r="V21" s="287"/>
      <c r="W21" s="287"/>
      <c r="X21" s="99"/>
      <c r="Y21" s="340"/>
      <c r="Z21" s="340"/>
      <c r="AA21" s="340"/>
      <c r="AB21" s="340"/>
      <c r="AC21" s="98"/>
    </row>
    <row r="22" spans="1:29" ht="15.8" customHeight="1" thickBot="1">
      <c r="C22" s="1443" t="s">
        <v>512</v>
      </c>
      <c r="D22" s="1442"/>
      <c r="E22" s="99"/>
      <c r="F22" s="99"/>
      <c r="G22" s="99"/>
      <c r="H22" s="99"/>
      <c r="I22" s="99"/>
      <c r="J22" s="99"/>
      <c r="K22" s="287"/>
      <c r="L22" s="287"/>
      <c r="M22" s="287"/>
      <c r="N22" s="287"/>
      <c r="O22" s="287"/>
      <c r="P22" s="287"/>
      <c r="Q22" s="287"/>
      <c r="R22" s="287"/>
      <c r="S22" s="287"/>
      <c r="T22" s="287"/>
      <c r="U22" s="287"/>
      <c r="V22" s="287"/>
      <c r="W22" s="287"/>
      <c r="X22" s="99"/>
      <c r="Y22" s="340"/>
      <c r="Z22" s="340"/>
      <c r="AA22" s="340"/>
      <c r="AB22" s="340"/>
      <c r="AC22" s="98"/>
    </row>
    <row r="23" spans="1:29" ht="15.8" customHeight="1">
      <c r="E23" s="99"/>
      <c r="F23" s="99"/>
      <c r="G23" s="99"/>
      <c r="H23" s="99"/>
      <c r="I23" s="99"/>
      <c r="J23" s="99"/>
      <c r="K23" s="287"/>
      <c r="L23" s="287"/>
      <c r="M23" s="287"/>
      <c r="N23" s="287"/>
      <c r="O23" s="287"/>
      <c r="P23" s="287"/>
      <c r="Q23" s="287"/>
      <c r="R23" s="287"/>
      <c r="S23" s="287"/>
      <c r="T23" s="287"/>
      <c r="U23" s="287"/>
      <c r="V23" s="287"/>
      <c r="W23" s="287"/>
      <c r="X23" s="99"/>
      <c r="Y23" s="340"/>
      <c r="Z23" s="340"/>
      <c r="AA23" s="340"/>
      <c r="AB23" s="340"/>
      <c r="AC23" s="98"/>
    </row>
    <row r="24" spans="1:29" ht="15.8" customHeight="1">
      <c r="E24" s="99"/>
      <c r="F24" s="99"/>
      <c r="G24" s="99"/>
      <c r="H24" s="99"/>
      <c r="I24" s="99"/>
      <c r="J24" s="99"/>
      <c r="K24" s="287"/>
      <c r="L24" s="287"/>
      <c r="M24" s="287"/>
      <c r="N24" s="287"/>
      <c r="O24" s="287"/>
      <c r="P24" s="287"/>
      <c r="Q24" s="287"/>
      <c r="R24" s="287"/>
      <c r="S24" s="287"/>
      <c r="T24" s="287"/>
      <c r="U24" s="287"/>
      <c r="V24" s="287"/>
      <c r="W24" s="287"/>
      <c r="X24" s="99"/>
      <c r="Y24" s="340"/>
      <c r="Z24" s="340"/>
      <c r="AA24" s="340"/>
      <c r="AB24" s="340"/>
      <c r="AC24" s="98"/>
    </row>
    <row r="25" spans="1:29" ht="15.8" customHeight="1">
      <c r="E25" s="99"/>
      <c r="F25" s="99"/>
      <c r="G25" s="99"/>
      <c r="H25" s="99"/>
      <c r="I25" s="99"/>
      <c r="J25" s="99"/>
      <c r="K25" s="287"/>
      <c r="L25" s="287"/>
      <c r="M25" s="287"/>
      <c r="N25" s="287"/>
      <c r="O25" s="287"/>
      <c r="P25" s="287"/>
      <c r="Q25" s="287"/>
      <c r="R25" s="287"/>
      <c r="S25" s="287"/>
      <c r="T25" s="287"/>
      <c r="U25" s="287"/>
      <c r="V25" s="287"/>
      <c r="W25" s="287"/>
      <c r="X25" s="99"/>
      <c r="Y25" s="340"/>
      <c r="Z25" s="340"/>
      <c r="AA25" s="340"/>
      <c r="AB25" s="340"/>
      <c r="AC25" s="98"/>
    </row>
    <row r="26" spans="1:29" ht="15.8" customHeight="1">
      <c r="E26" s="99"/>
      <c r="F26" s="99"/>
      <c r="G26" s="99"/>
      <c r="H26" s="99"/>
      <c r="I26" s="99"/>
      <c r="J26" s="99"/>
      <c r="K26" s="287"/>
      <c r="L26" s="287"/>
      <c r="M26" s="287"/>
      <c r="N26" s="287"/>
      <c r="O26" s="287"/>
      <c r="P26" s="287"/>
      <c r="Q26" s="287"/>
      <c r="R26" s="287"/>
      <c r="S26" s="287"/>
      <c r="T26" s="287"/>
      <c r="U26" s="287"/>
      <c r="V26" s="287"/>
      <c r="W26" s="287"/>
      <c r="X26" s="99"/>
      <c r="Y26" s="340"/>
      <c r="Z26" s="340"/>
      <c r="AA26" s="340"/>
      <c r="AB26" s="340"/>
      <c r="AC26" s="98"/>
    </row>
    <row r="27" spans="1:29" ht="15.8" customHeight="1">
      <c r="E27" s="99"/>
      <c r="F27" s="99"/>
      <c r="G27" s="99"/>
      <c r="H27" s="99"/>
      <c r="I27" s="99"/>
      <c r="J27" s="99"/>
      <c r="K27" s="287"/>
      <c r="L27" s="287"/>
      <c r="M27" s="287"/>
      <c r="N27" s="287"/>
      <c r="O27" s="287"/>
      <c r="P27" s="287"/>
      <c r="Q27" s="287"/>
      <c r="R27" s="287"/>
      <c r="S27" s="287"/>
      <c r="T27" s="287"/>
      <c r="U27" s="287"/>
      <c r="V27" s="287"/>
      <c r="W27" s="287"/>
      <c r="X27" s="99"/>
      <c r="Y27" s="340"/>
      <c r="Z27" s="340"/>
      <c r="AA27" s="340"/>
      <c r="AB27" s="340"/>
      <c r="AC27" s="98"/>
    </row>
    <row r="28" spans="1:29" ht="15.8" customHeight="1">
      <c r="E28" s="99"/>
      <c r="F28" s="99"/>
      <c r="G28" s="99"/>
      <c r="H28" s="99"/>
      <c r="I28" s="99"/>
      <c r="J28" s="99"/>
      <c r="K28" s="287"/>
      <c r="L28" s="287"/>
      <c r="M28" s="287"/>
      <c r="N28" s="287"/>
      <c r="O28" s="287"/>
      <c r="P28" s="287"/>
      <c r="Q28" s="287"/>
      <c r="R28" s="287"/>
      <c r="S28" s="287"/>
      <c r="T28" s="287"/>
      <c r="U28" s="287"/>
      <c r="V28" s="287"/>
      <c r="W28" s="287"/>
      <c r="X28" s="99"/>
      <c r="Y28" s="340"/>
      <c r="Z28" s="340"/>
      <c r="AA28" s="340"/>
      <c r="AB28" s="340"/>
      <c r="AC28" s="98"/>
    </row>
    <row r="29" spans="1:29" ht="15.8" customHeight="1">
      <c r="E29" s="99"/>
      <c r="F29" s="99"/>
      <c r="G29" s="99"/>
      <c r="H29" s="99"/>
      <c r="I29" s="99"/>
      <c r="J29" s="99"/>
      <c r="K29" s="287"/>
      <c r="L29" s="287"/>
      <c r="M29" s="287"/>
      <c r="N29" s="287"/>
      <c r="O29" s="287"/>
      <c r="P29" s="287"/>
      <c r="Q29" s="287"/>
      <c r="R29" s="287"/>
      <c r="S29" s="287"/>
      <c r="T29" s="287"/>
      <c r="U29" s="287"/>
      <c r="V29" s="287"/>
      <c r="W29" s="287"/>
      <c r="X29" s="99"/>
      <c r="Y29" s="340"/>
      <c r="Z29" s="340"/>
      <c r="AA29" s="340"/>
      <c r="AB29" s="340"/>
      <c r="AC29" s="98"/>
    </row>
    <row r="30" spans="1:29" ht="15.8" customHeight="1">
      <c r="E30" s="99"/>
      <c r="F30" s="99"/>
      <c r="G30" s="99"/>
      <c r="H30" s="99"/>
      <c r="I30" s="99"/>
      <c r="J30" s="99"/>
      <c r="K30" s="287"/>
      <c r="L30" s="287"/>
      <c r="M30" s="287"/>
      <c r="N30" s="287"/>
      <c r="O30" s="287"/>
      <c r="P30" s="287"/>
      <c r="Q30" s="287"/>
      <c r="R30" s="287"/>
      <c r="S30" s="287"/>
      <c r="T30" s="287"/>
      <c r="U30" s="287"/>
      <c r="V30" s="287"/>
      <c r="W30" s="287"/>
      <c r="X30" s="99"/>
      <c r="Y30" s="340"/>
      <c r="Z30" s="340"/>
      <c r="AA30" s="340"/>
      <c r="AB30" s="340"/>
      <c r="AC30" s="98"/>
    </row>
    <row r="31" spans="1:29" ht="15.8" customHeight="1">
      <c r="E31" s="99"/>
      <c r="F31" s="99"/>
      <c r="G31" s="99"/>
      <c r="H31" s="99"/>
      <c r="I31" s="99"/>
      <c r="J31" s="99"/>
      <c r="K31" s="287"/>
      <c r="L31" s="287"/>
      <c r="M31" s="287"/>
      <c r="N31" s="287"/>
      <c r="O31" s="287"/>
      <c r="P31" s="287"/>
      <c r="Q31" s="287"/>
      <c r="R31" s="287"/>
      <c r="S31" s="287"/>
      <c r="T31" s="287"/>
      <c r="U31" s="287"/>
      <c r="V31" s="287"/>
      <c r="W31" s="287"/>
      <c r="X31" s="99"/>
      <c r="Y31" s="340"/>
      <c r="Z31" s="340"/>
      <c r="AA31" s="340"/>
      <c r="AB31" s="340"/>
      <c r="AC31" s="98"/>
    </row>
    <row r="32" spans="1:29" ht="15.8" customHeight="1">
      <c r="E32" s="99"/>
      <c r="F32" s="99"/>
      <c r="G32" s="99"/>
      <c r="H32" s="99"/>
      <c r="I32" s="99"/>
      <c r="J32" s="99"/>
      <c r="K32" s="287"/>
      <c r="L32" s="287"/>
      <c r="M32" s="287"/>
      <c r="N32" s="287"/>
      <c r="O32" s="287"/>
      <c r="P32" s="287"/>
      <c r="Q32" s="287"/>
      <c r="R32" s="287"/>
      <c r="S32" s="287"/>
      <c r="T32" s="287"/>
      <c r="U32" s="287"/>
      <c r="V32" s="287"/>
      <c r="W32" s="287"/>
      <c r="X32" s="99"/>
      <c r="Y32" s="340"/>
      <c r="Z32" s="340"/>
      <c r="AA32" s="340"/>
      <c r="AB32" s="340"/>
      <c r="AC32" s="98"/>
    </row>
    <row r="33" spans="5:29" ht="15.8" customHeight="1">
      <c r="E33" s="99"/>
      <c r="F33" s="99"/>
      <c r="G33" s="99"/>
      <c r="H33" s="99"/>
      <c r="I33" s="99"/>
      <c r="J33" s="99"/>
      <c r="K33" s="287"/>
      <c r="L33" s="287"/>
      <c r="M33" s="287"/>
      <c r="N33" s="287"/>
      <c r="O33" s="287"/>
      <c r="P33" s="287"/>
      <c r="Q33" s="287"/>
      <c r="R33" s="287"/>
      <c r="S33" s="287"/>
      <c r="T33" s="287"/>
      <c r="U33" s="287"/>
      <c r="V33" s="287"/>
      <c r="W33" s="287"/>
      <c r="X33" s="99"/>
      <c r="Y33" s="340"/>
      <c r="Z33" s="340"/>
      <c r="AA33" s="340"/>
      <c r="AB33" s="340"/>
      <c r="AC33" s="98"/>
    </row>
    <row r="34" spans="5:29" ht="15.8" customHeight="1">
      <c r="E34" s="99"/>
      <c r="F34" s="99"/>
      <c r="G34" s="99"/>
      <c r="H34" s="99"/>
      <c r="I34" s="99"/>
      <c r="J34" s="99"/>
      <c r="K34" s="287"/>
      <c r="L34" s="287"/>
      <c r="M34" s="287"/>
      <c r="N34" s="287"/>
      <c r="O34" s="287"/>
      <c r="P34" s="287"/>
      <c r="Q34" s="287"/>
      <c r="R34" s="287"/>
      <c r="S34" s="287"/>
      <c r="T34" s="287"/>
      <c r="U34" s="287"/>
      <c r="V34" s="287"/>
      <c r="W34" s="287"/>
      <c r="X34" s="99"/>
      <c r="Y34" s="340"/>
      <c r="Z34" s="340"/>
      <c r="AA34" s="340"/>
      <c r="AB34" s="340"/>
      <c r="AC34" s="98"/>
    </row>
    <row r="35" spans="5:29" ht="15.8" customHeight="1">
      <c r="E35" s="99"/>
      <c r="F35" s="99"/>
      <c r="G35" s="99"/>
      <c r="H35" s="99"/>
      <c r="I35" s="99"/>
      <c r="J35" s="99"/>
      <c r="K35" s="287"/>
      <c r="L35" s="287"/>
      <c r="M35" s="287"/>
      <c r="N35" s="287"/>
      <c r="O35" s="287"/>
      <c r="P35" s="287"/>
      <c r="Q35" s="287"/>
      <c r="R35" s="287"/>
      <c r="S35" s="287"/>
      <c r="T35" s="287"/>
      <c r="U35" s="287"/>
      <c r="V35" s="287"/>
      <c r="W35" s="287"/>
      <c r="X35" s="99"/>
      <c r="Y35" s="340"/>
      <c r="Z35" s="340"/>
      <c r="AA35" s="340"/>
      <c r="AB35" s="340"/>
      <c r="AC35" s="98"/>
    </row>
    <row r="36" spans="5:29" ht="15.8" customHeight="1">
      <c r="E36" s="99"/>
      <c r="F36" s="99"/>
      <c r="G36" s="99"/>
      <c r="H36" s="99"/>
      <c r="I36" s="99"/>
      <c r="J36" s="99"/>
      <c r="K36" s="287"/>
      <c r="L36" s="287"/>
      <c r="M36" s="287"/>
      <c r="N36" s="287"/>
      <c r="O36" s="287"/>
      <c r="P36" s="287"/>
      <c r="Q36" s="287"/>
      <c r="R36" s="287"/>
      <c r="S36" s="287"/>
      <c r="T36" s="287"/>
      <c r="U36" s="287"/>
      <c r="V36" s="287"/>
      <c r="W36" s="287"/>
      <c r="X36" s="99"/>
      <c r="Y36" s="340"/>
      <c r="Z36" s="340"/>
      <c r="AA36" s="340"/>
      <c r="AB36" s="340"/>
      <c r="AC36" s="98"/>
    </row>
    <row r="37" spans="5:29" ht="15.8" customHeight="1">
      <c r="K37" s="287"/>
      <c r="L37" s="287"/>
      <c r="M37" s="287"/>
      <c r="N37" s="287"/>
      <c r="O37" s="287"/>
      <c r="P37" s="287"/>
      <c r="Q37" s="287"/>
      <c r="R37" s="287"/>
      <c r="S37" s="287"/>
      <c r="T37" s="287"/>
      <c r="U37" s="287"/>
      <c r="V37" s="287"/>
      <c r="W37" s="287"/>
      <c r="X37" s="99"/>
      <c r="Y37" s="287"/>
      <c r="Z37" s="287"/>
      <c r="AA37" s="287"/>
      <c r="AB37" s="287"/>
      <c r="AC37" s="98"/>
    </row>
    <row r="38" spans="5:29" ht="15.8" customHeight="1">
      <c r="K38" s="287"/>
      <c r="L38" s="287"/>
      <c r="M38" s="287"/>
      <c r="N38" s="287"/>
      <c r="O38" s="287"/>
      <c r="P38" s="287"/>
      <c r="Q38" s="287"/>
      <c r="R38" s="287"/>
      <c r="S38" s="287"/>
      <c r="T38" s="287"/>
      <c r="U38" s="287"/>
      <c r="V38" s="287"/>
      <c r="W38" s="287"/>
      <c r="X38" s="99"/>
      <c r="Y38" s="287"/>
      <c r="Z38" s="287"/>
      <c r="AA38" s="287"/>
      <c r="AB38" s="287"/>
      <c r="AC38" s="98"/>
    </row>
    <row r="39" spans="5:29" ht="15.8" customHeight="1">
      <c r="K39" s="287"/>
      <c r="L39" s="287"/>
      <c r="M39" s="287"/>
      <c r="N39" s="287"/>
      <c r="O39" s="287"/>
      <c r="P39" s="287"/>
      <c r="Q39" s="287"/>
      <c r="R39" s="287"/>
      <c r="S39" s="287"/>
      <c r="T39" s="287"/>
      <c r="U39" s="287"/>
      <c r="V39" s="287"/>
      <c r="W39" s="287"/>
      <c r="X39" s="99"/>
      <c r="Y39" s="287"/>
      <c r="Z39" s="287"/>
      <c r="AA39" s="287"/>
      <c r="AB39" s="287"/>
      <c r="AC39" s="98"/>
    </row>
    <row r="40" spans="5:29" ht="15.8" customHeight="1">
      <c r="K40" s="287"/>
      <c r="L40" s="287"/>
      <c r="M40" s="287"/>
      <c r="N40" s="287"/>
      <c r="O40" s="287"/>
      <c r="P40" s="287"/>
      <c r="Q40" s="287"/>
      <c r="R40" s="287"/>
      <c r="S40" s="287"/>
      <c r="T40" s="287"/>
      <c r="U40" s="287"/>
      <c r="V40" s="287"/>
      <c r="W40" s="287"/>
      <c r="X40" s="99"/>
      <c r="Y40" s="287"/>
      <c r="Z40" s="287"/>
      <c r="AA40" s="287"/>
      <c r="AB40" s="287"/>
      <c r="AC40" s="98"/>
    </row>
    <row r="41" spans="5:29" ht="15.8" customHeight="1">
      <c r="K41" s="287"/>
      <c r="L41" s="287"/>
      <c r="M41" s="287"/>
      <c r="N41" s="287"/>
      <c r="O41" s="287"/>
      <c r="P41" s="287"/>
      <c r="Q41" s="287"/>
      <c r="R41" s="287"/>
      <c r="S41" s="287"/>
      <c r="T41" s="287"/>
      <c r="U41" s="287"/>
      <c r="V41" s="287"/>
      <c r="W41" s="287"/>
      <c r="X41" s="99"/>
      <c r="Y41" s="287"/>
      <c r="Z41" s="287"/>
      <c r="AA41" s="287"/>
      <c r="AB41" s="287"/>
      <c r="AC41" s="98"/>
    </row>
    <row r="42" spans="5:29" ht="15.8" customHeight="1">
      <c r="K42" s="287"/>
      <c r="L42" s="287"/>
      <c r="M42" s="287"/>
      <c r="N42" s="287"/>
      <c r="O42" s="287"/>
      <c r="P42" s="287"/>
      <c r="Q42" s="287"/>
      <c r="R42" s="287"/>
      <c r="S42" s="287"/>
      <c r="T42" s="287"/>
      <c r="U42" s="287"/>
      <c r="V42" s="287"/>
      <c r="W42" s="287"/>
      <c r="X42" s="99"/>
      <c r="Y42" s="287"/>
      <c r="Z42" s="287"/>
      <c r="AA42" s="287"/>
      <c r="AB42" s="287"/>
      <c r="AC42" s="98"/>
    </row>
    <row r="43" spans="5:29" ht="15.8" customHeight="1">
      <c r="K43" s="287"/>
      <c r="L43" s="287"/>
      <c r="M43" s="287"/>
      <c r="N43" s="287"/>
      <c r="O43" s="287"/>
      <c r="P43" s="287"/>
      <c r="Q43" s="287"/>
      <c r="R43" s="287"/>
      <c r="S43" s="287"/>
      <c r="T43" s="287"/>
      <c r="U43" s="287"/>
      <c r="V43" s="287"/>
      <c r="W43" s="287"/>
      <c r="X43" s="99"/>
      <c r="Y43" s="287"/>
      <c r="Z43" s="287"/>
      <c r="AA43" s="287"/>
      <c r="AB43" s="287"/>
      <c r="AC43" s="98"/>
    </row>
    <row r="44" spans="5:29" ht="15.8" customHeight="1">
      <c r="K44" s="287"/>
      <c r="L44" s="287"/>
      <c r="M44" s="287"/>
      <c r="N44" s="287"/>
      <c r="O44" s="287"/>
      <c r="P44" s="287"/>
      <c r="Q44" s="287"/>
      <c r="R44" s="287"/>
      <c r="S44" s="287"/>
      <c r="T44" s="287"/>
      <c r="U44" s="287"/>
      <c r="V44" s="287"/>
      <c r="W44" s="287"/>
      <c r="X44" s="99"/>
      <c r="Y44" s="287"/>
      <c r="Z44" s="287"/>
      <c r="AA44" s="287"/>
      <c r="AB44" s="287"/>
      <c r="AC44" s="98"/>
    </row>
    <row r="45" spans="5:29" ht="15.8" customHeight="1">
      <c r="K45" s="287"/>
      <c r="L45" s="287"/>
      <c r="M45" s="287"/>
      <c r="N45" s="287"/>
      <c r="O45" s="287"/>
      <c r="P45" s="287"/>
      <c r="Q45" s="287"/>
      <c r="R45" s="287"/>
      <c r="S45" s="287"/>
      <c r="T45" s="287"/>
      <c r="U45" s="287"/>
      <c r="V45" s="287"/>
      <c r="W45" s="287"/>
      <c r="X45" s="99"/>
      <c r="Y45" s="287"/>
      <c r="Z45" s="287"/>
      <c r="AA45" s="287"/>
      <c r="AB45" s="287"/>
      <c r="AC45" s="98"/>
    </row>
    <row r="46" spans="5:29" ht="15.8" customHeight="1">
      <c r="K46" s="287"/>
      <c r="L46" s="287"/>
      <c r="M46" s="287"/>
      <c r="N46" s="287"/>
      <c r="O46" s="287"/>
      <c r="P46" s="287"/>
      <c r="Q46" s="287"/>
      <c r="R46" s="287"/>
      <c r="S46" s="287"/>
      <c r="T46" s="287"/>
      <c r="U46" s="287"/>
      <c r="V46" s="287"/>
      <c r="W46" s="287"/>
      <c r="X46" s="99"/>
      <c r="Y46" s="287"/>
      <c r="Z46" s="287"/>
      <c r="AA46" s="287"/>
      <c r="AB46" s="287"/>
      <c r="AC46" s="98"/>
    </row>
    <row r="47" spans="5:29" ht="15.8" customHeight="1">
      <c r="K47" s="287"/>
      <c r="L47" s="287"/>
      <c r="M47" s="287"/>
      <c r="N47" s="287"/>
      <c r="O47" s="287"/>
      <c r="P47" s="287"/>
      <c r="Q47" s="287"/>
      <c r="R47" s="287"/>
      <c r="S47" s="287"/>
      <c r="T47" s="287"/>
      <c r="U47" s="287"/>
      <c r="V47" s="287"/>
      <c r="W47" s="287"/>
      <c r="X47" s="99"/>
      <c r="Y47" s="287"/>
      <c r="Z47" s="287"/>
      <c r="AA47" s="287"/>
      <c r="AB47" s="287"/>
      <c r="AC47" s="98"/>
    </row>
    <row r="48" spans="5:29" ht="15.8" customHeight="1">
      <c r="K48" s="287"/>
      <c r="L48" s="287"/>
      <c r="M48" s="287"/>
      <c r="N48" s="287"/>
      <c r="O48" s="287"/>
      <c r="P48" s="287"/>
      <c r="Q48" s="287"/>
      <c r="R48" s="287"/>
      <c r="S48" s="287"/>
      <c r="T48" s="287"/>
      <c r="U48" s="287"/>
      <c r="V48" s="287"/>
      <c r="W48" s="287"/>
      <c r="X48" s="99"/>
      <c r="Y48" s="287"/>
      <c r="Z48" s="287"/>
      <c r="AA48" s="287"/>
      <c r="AB48" s="287"/>
      <c r="AC48" s="98"/>
    </row>
    <row r="49" spans="11:29">
      <c r="K49" s="287"/>
      <c r="L49" s="287"/>
      <c r="M49" s="287"/>
      <c r="N49" s="287"/>
      <c r="O49" s="287"/>
      <c r="P49" s="287"/>
      <c r="Q49" s="287"/>
      <c r="R49" s="287"/>
      <c r="S49" s="287"/>
      <c r="T49" s="287"/>
      <c r="U49" s="287"/>
      <c r="V49" s="287"/>
      <c r="W49" s="287"/>
      <c r="X49" s="99"/>
      <c r="Y49" s="287"/>
      <c r="Z49" s="287"/>
      <c r="AA49" s="287"/>
      <c r="AB49" s="287"/>
      <c r="AC49" s="98"/>
    </row>
    <row r="50" spans="11:29">
      <c r="K50" s="287"/>
      <c r="L50" s="287"/>
      <c r="M50" s="287"/>
      <c r="N50" s="287"/>
      <c r="O50" s="287"/>
      <c r="P50" s="287"/>
      <c r="Q50" s="287"/>
      <c r="R50" s="287"/>
      <c r="S50" s="287"/>
      <c r="T50" s="287"/>
      <c r="U50" s="287"/>
      <c r="V50" s="287"/>
      <c r="W50" s="287"/>
      <c r="X50" s="99"/>
      <c r="Y50" s="287"/>
      <c r="Z50" s="287"/>
      <c r="AA50" s="287"/>
      <c r="AB50" s="287"/>
      <c r="AC50" s="98"/>
    </row>
    <row r="51" spans="11:29">
      <c r="K51" s="287"/>
      <c r="L51" s="287"/>
      <c r="M51" s="287"/>
      <c r="N51" s="287"/>
      <c r="O51" s="287"/>
      <c r="P51" s="287"/>
      <c r="Q51" s="287"/>
      <c r="R51" s="287"/>
      <c r="S51" s="287"/>
      <c r="T51" s="287"/>
      <c r="U51" s="287"/>
      <c r="V51" s="287"/>
      <c r="W51" s="287"/>
      <c r="X51" s="99"/>
      <c r="Y51" s="287"/>
      <c r="Z51" s="287"/>
      <c r="AA51" s="287"/>
      <c r="AB51" s="287"/>
      <c r="AC51" s="98"/>
    </row>
    <row r="52" spans="11:29">
      <c r="K52" s="287"/>
      <c r="L52" s="287"/>
      <c r="M52" s="287"/>
      <c r="N52" s="287"/>
      <c r="O52" s="287"/>
      <c r="P52" s="287"/>
      <c r="Q52" s="287"/>
      <c r="R52" s="287"/>
      <c r="S52" s="287"/>
      <c r="T52" s="287"/>
      <c r="U52" s="287"/>
      <c r="V52" s="287"/>
      <c r="W52" s="287"/>
      <c r="X52" s="99"/>
      <c r="Y52" s="287"/>
      <c r="Z52" s="287"/>
      <c r="AA52" s="287"/>
      <c r="AB52" s="287"/>
      <c r="AC52" s="98"/>
    </row>
    <row r="53" spans="11:29">
      <c r="K53" s="287"/>
      <c r="L53" s="287"/>
      <c r="M53" s="287"/>
      <c r="N53" s="287"/>
      <c r="O53" s="287"/>
      <c r="P53" s="287"/>
      <c r="Q53" s="287"/>
      <c r="R53" s="287"/>
      <c r="S53" s="287"/>
      <c r="T53" s="287"/>
      <c r="U53" s="287"/>
      <c r="V53" s="287"/>
      <c r="W53" s="287"/>
      <c r="X53" s="99"/>
      <c r="Y53" s="287"/>
      <c r="Z53" s="287"/>
      <c r="AA53" s="287"/>
      <c r="AB53" s="287"/>
      <c r="AC53" s="98"/>
    </row>
    <row r="54" spans="11:29">
      <c r="K54" s="287"/>
      <c r="L54" s="287"/>
      <c r="M54" s="287"/>
      <c r="N54" s="287"/>
      <c r="O54" s="287"/>
      <c r="P54" s="287"/>
      <c r="Q54" s="287"/>
      <c r="R54" s="287"/>
      <c r="S54" s="287"/>
      <c r="T54" s="287"/>
      <c r="U54" s="287"/>
      <c r="V54" s="287"/>
      <c r="W54" s="287"/>
      <c r="X54" s="99"/>
      <c r="Y54" s="287"/>
      <c r="Z54" s="287"/>
      <c r="AA54" s="287"/>
      <c r="AB54" s="287"/>
      <c r="AC54" s="98"/>
    </row>
    <row r="55" spans="11:29">
      <c r="K55" s="287"/>
      <c r="L55" s="287"/>
      <c r="M55" s="287"/>
      <c r="N55" s="287"/>
      <c r="O55" s="287"/>
      <c r="P55" s="287"/>
      <c r="Q55" s="287"/>
      <c r="R55" s="287"/>
      <c r="S55" s="287"/>
      <c r="T55" s="287"/>
      <c r="U55" s="287"/>
      <c r="V55" s="287"/>
      <c r="W55" s="287"/>
      <c r="X55" s="99"/>
      <c r="Y55" s="287"/>
      <c r="Z55" s="287"/>
      <c r="AA55" s="287"/>
      <c r="AB55" s="287"/>
      <c r="AC55" s="98"/>
    </row>
    <row r="56" spans="11:29">
      <c r="K56" s="287"/>
      <c r="L56" s="287"/>
      <c r="M56" s="287"/>
      <c r="N56" s="287"/>
      <c r="O56" s="287"/>
      <c r="P56" s="287"/>
      <c r="Q56" s="287"/>
      <c r="R56" s="287"/>
      <c r="S56" s="287"/>
      <c r="T56" s="287"/>
      <c r="U56" s="287"/>
      <c r="V56" s="287"/>
      <c r="W56" s="287"/>
      <c r="X56" s="99"/>
      <c r="Y56" s="287"/>
      <c r="Z56" s="287"/>
      <c r="AA56" s="287"/>
      <c r="AB56" s="287"/>
      <c r="AC56" s="98"/>
    </row>
    <row r="57" spans="11:29">
      <c r="K57" s="287"/>
      <c r="L57" s="287"/>
      <c r="M57" s="287"/>
      <c r="N57" s="287"/>
      <c r="O57" s="287"/>
      <c r="P57" s="287"/>
      <c r="Q57" s="287"/>
      <c r="R57" s="287"/>
      <c r="S57" s="287"/>
      <c r="T57" s="287"/>
      <c r="U57" s="287"/>
      <c r="V57" s="287"/>
      <c r="W57" s="287"/>
      <c r="X57" s="99"/>
      <c r="Y57" s="287"/>
      <c r="Z57" s="287"/>
      <c r="AA57" s="287"/>
      <c r="AB57" s="287"/>
      <c r="AC57" s="98"/>
    </row>
    <row r="58" spans="11:29">
      <c r="K58" s="287"/>
      <c r="L58" s="287"/>
      <c r="M58" s="287"/>
      <c r="N58" s="287"/>
      <c r="O58" s="287"/>
      <c r="P58" s="287"/>
      <c r="Q58" s="287"/>
      <c r="R58" s="287"/>
      <c r="S58" s="287"/>
      <c r="T58" s="287"/>
      <c r="U58" s="287"/>
      <c r="V58" s="287"/>
      <c r="W58" s="287"/>
      <c r="X58" s="99"/>
      <c r="Y58" s="287"/>
      <c r="Z58" s="287"/>
      <c r="AA58" s="287"/>
      <c r="AB58" s="287"/>
      <c r="AC58" s="98"/>
    </row>
    <row r="59" spans="11:29">
      <c r="K59" s="287"/>
      <c r="L59" s="287"/>
      <c r="M59" s="287"/>
      <c r="N59" s="287"/>
      <c r="O59" s="287"/>
      <c r="P59" s="287"/>
      <c r="Q59" s="287"/>
      <c r="R59" s="287"/>
      <c r="S59" s="287"/>
      <c r="T59" s="287"/>
      <c r="U59" s="287"/>
      <c r="V59" s="287"/>
      <c r="W59" s="287"/>
      <c r="X59" s="99"/>
      <c r="Y59" s="287"/>
      <c r="Z59" s="287"/>
      <c r="AA59" s="287"/>
      <c r="AB59" s="287"/>
      <c r="AC59" s="98"/>
    </row>
    <row r="60" spans="11:29">
      <c r="K60" s="287"/>
      <c r="L60" s="287"/>
      <c r="M60" s="287"/>
      <c r="N60" s="287"/>
      <c r="O60" s="287"/>
      <c r="P60" s="287"/>
      <c r="Q60" s="287"/>
      <c r="R60" s="287"/>
      <c r="S60" s="287"/>
      <c r="T60" s="287"/>
      <c r="U60" s="287"/>
      <c r="V60" s="287"/>
      <c r="W60" s="287"/>
      <c r="X60" s="99"/>
      <c r="Y60" s="287"/>
      <c r="Z60" s="287"/>
      <c r="AA60" s="287"/>
      <c r="AB60" s="287"/>
      <c r="AC60" s="98"/>
    </row>
    <row r="61" spans="11:29">
      <c r="K61" s="287"/>
      <c r="L61" s="287"/>
      <c r="M61" s="287"/>
      <c r="N61" s="287"/>
      <c r="O61" s="287"/>
      <c r="P61" s="287"/>
      <c r="Q61" s="287"/>
      <c r="R61" s="287"/>
      <c r="S61" s="287"/>
      <c r="T61" s="287"/>
      <c r="U61" s="287"/>
      <c r="V61" s="287"/>
      <c r="W61" s="287"/>
      <c r="X61" s="99"/>
      <c r="Y61" s="287"/>
      <c r="Z61" s="287"/>
      <c r="AA61" s="287"/>
      <c r="AB61" s="287"/>
      <c r="AC61" s="98"/>
    </row>
    <row r="62" spans="11:29">
      <c r="K62" s="287"/>
      <c r="L62" s="287"/>
      <c r="M62" s="287"/>
      <c r="N62" s="287"/>
      <c r="O62" s="287"/>
      <c r="P62" s="287"/>
      <c r="Q62" s="287"/>
      <c r="R62" s="287"/>
      <c r="S62" s="287"/>
      <c r="T62" s="287"/>
      <c r="U62" s="287"/>
      <c r="V62" s="287"/>
      <c r="W62" s="287"/>
      <c r="X62" s="99"/>
      <c r="Y62" s="287"/>
      <c r="Z62" s="287"/>
      <c r="AA62" s="287"/>
      <c r="AB62" s="287"/>
      <c r="AC62" s="98"/>
    </row>
    <row r="63" spans="11:29">
      <c r="K63" s="287"/>
      <c r="L63" s="287"/>
      <c r="M63" s="287"/>
      <c r="N63" s="287"/>
      <c r="O63" s="287"/>
      <c r="P63" s="287"/>
      <c r="Q63" s="287"/>
      <c r="R63" s="287"/>
      <c r="S63" s="287"/>
      <c r="T63" s="287"/>
      <c r="U63" s="287"/>
      <c r="V63" s="287"/>
      <c r="W63" s="287"/>
      <c r="X63" s="99"/>
      <c r="Y63" s="287"/>
      <c r="Z63" s="287"/>
      <c r="AA63" s="287"/>
      <c r="AB63" s="287"/>
      <c r="AC63" s="98"/>
    </row>
    <row r="64" spans="11:29">
      <c r="K64" s="287"/>
      <c r="L64" s="287"/>
      <c r="M64" s="287"/>
      <c r="N64" s="287"/>
      <c r="O64" s="287"/>
      <c r="P64" s="287"/>
      <c r="Q64" s="287"/>
      <c r="R64" s="287"/>
      <c r="S64" s="287"/>
      <c r="T64" s="287"/>
      <c r="U64" s="287"/>
      <c r="V64" s="287"/>
      <c r="W64" s="287"/>
      <c r="X64" s="99"/>
      <c r="Y64" s="287"/>
      <c r="Z64" s="287"/>
      <c r="AA64" s="287"/>
      <c r="AB64" s="287"/>
      <c r="AC64" s="98"/>
    </row>
    <row r="65" spans="11:29">
      <c r="K65" s="287"/>
      <c r="L65" s="287"/>
      <c r="M65" s="287"/>
      <c r="N65" s="287"/>
      <c r="O65" s="287"/>
      <c r="P65" s="287"/>
      <c r="Q65" s="287"/>
      <c r="R65" s="287"/>
      <c r="S65" s="287"/>
      <c r="T65" s="287"/>
      <c r="U65" s="287"/>
      <c r="V65" s="287"/>
      <c r="W65" s="287"/>
      <c r="X65" s="99"/>
      <c r="Y65" s="287"/>
      <c r="Z65" s="287"/>
      <c r="AA65" s="287"/>
      <c r="AB65" s="287"/>
      <c r="AC65" s="98"/>
    </row>
    <row r="66" spans="11:29">
      <c r="K66" s="287"/>
      <c r="L66" s="287"/>
      <c r="M66" s="287"/>
      <c r="N66" s="287"/>
      <c r="O66" s="287"/>
      <c r="P66" s="287"/>
      <c r="Q66" s="287"/>
      <c r="R66" s="287"/>
      <c r="S66" s="287"/>
      <c r="T66" s="287"/>
      <c r="U66" s="287"/>
      <c r="V66" s="287"/>
      <c r="W66" s="287"/>
      <c r="X66" s="99"/>
      <c r="Y66" s="287"/>
      <c r="Z66" s="287"/>
      <c r="AA66" s="287"/>
      <c r="AB66" s="287"/>
      <c r="AC66" s="98"/>
    </row>
    <row r="67" spans="11:29">
      <c r="K67" s="287"/>
      <c r="L67" s="287"/>
      <c r="M67" s="287"/>
      <c r="N67" s="287"/>
      <c r="O67" s="287"/>
      <c r="P67" s="287"/>
      <c r="Q67" s="287"/>
      <c r="R67" s="287"/>
      <c r="S67" s="287"/>
      <c r="T67" s="287"/>
      <c r="U67" s="287"/>
      <c r="V67" s="287"/>
      <c r="W67" s="287"/>
      <c r="X67" s="99"/>
      <c r="Y67" s="287"/>
      <c r="Z67" s="287"/>
      <c r="AA67" s="287"/>
      <c r="AB67" s="287"/>
      <c r="AC67" s="98"/>
    </row>
    <row r="68" spans="11:29">
      <c r="K68" s="287"/>
      <c r="L68" s="287"/>
      <c r="M68" s="287"/>
      <c r="N68" s="287"/>
      <c r="O68" s="287"/>
      <c r="P68" s="287"/>
      <c r="Q68" s="287"/>
      <c r="R68" s="287"/>
      <c r="S68" s="287"/>
      <c r="T68" s="287"/>
      <c r="U68" s="287"/>
      <c r="V68" s="287"/>
      <c r="W68" s="287"/>
      <c r="X68" s="99"/>
      <c r="Y68" s="287"/>
      <c r="Z68" s="287"/>
      <c r="AA68" s="287"/>
      <c r="AB68" s="287"/>
      <c r="AC68" s="98"/>
    </row>
    <row r="69" spans="11:29">
      <c r="K69" s="287"/>
      <c r="L69" s="287"/>
      <c r="M69" s="287"/>
      <c r="N69" s="287"/>
      <c r="O69" s="287"/>
      <c r="P69" s="287"/>
      <c r="Q69" s="287"/>
      <c r="R69" s="287"/>
      <c r="S69" s="287"/>
      <c r="T69" s="287"/>
      <c r="U69" s="287"/>
      <c r="V69" s="287"/>
      <c r="W69" s="287"/>
      <c r="X69" s="99"/>
      <c r="Y69" s="287"/>
      <c r="Z69" s="287"/>
      <c r="AA69" s="287"/>
      <c r="AB69" s="287"/>
      <c r="AC69" s="98"/>
    </row>
    <row r="70" spans="11:29">
      <c r="K70" s="287"/>
      <c r="L70" s="287"/>
      <c r="M70" s="287"/>
      <c r="N70" s="287"/>
      <c r="O70" s="287"/>
      <c r="P70" s="287"/>
      <c r="Q70" s="287"/>
      <c r="R70" s="287"/>
      <c r="S70" s="287"/>
      <c r="T70" s="287"/>
      <c r="U70" s="287"/>
      <c r="V70" s="287"/>
      <c r="W70" s="287"/>
      <c r="X70" s="99"/>
      <c r="Y70" s="287"/>
      <c r="Z70" s="287"/>
      <c r="AA70" s="287"/>
      <c r="AB70" s="287"/>
      <c r="AC70" s="98"/>
    </row>
    <row r="71" spans="11:29">
      <c r="K71" s="287"/>
      <c r="L71" s="287"/>
      <c r="M71" s="287"/>
      <c r="N71" s="287"/>
      <c r="O71" s="287"/>
      <c r="P71" s="287"/>
      <c r="Q71" s="287"/>
      <c r="R71" s="287"/>
      <c r="S71" s="287"/>
      <c r="T71" s="287"/>
      <c r="U71" s="287"/>
      <c r="V71" s="287"/>
      <c r="W71" s="287"/>
      <c r="X71" s="99"/>
      <c r="Y71" s="287"/>
      <c r="Z71" s="287"/>
      <c r="AA71" s="287"/>
      <c r="AB71" s="287"/>
      <c r="AC71" s="98"/>
    </row>
    <row r="72" spans="11:29">
      <c r="K72" s="287"/>
      <c r="L72" s="287"/>
      <c r="M72" s="287"/>
      <c r="N72" s="287"/>
      <c r="O72" s="287"/>
      <c r="P72" s="287"/>
      <c r="Q72" s="287"/>
      <c r="R72" s="287"/>
      <c r="S72" s="287"/>
      <c r="T72" s="287"/>
      <c r="U72" s="287"/>
      <c r="V72" s="287"/>
      <c r="W72" s="287"/>
      <c r="X72" s="99"/>
      <c r="Y72" s="287"/>
      <c r="Z72" s="287"/>
      <c r="AA72" s="287"/>
      <c r="AB72" s="287"/>
      <c r="AC72" s="98"/>
    </row>
    <row r="73" spans="11:29">
      <c r="K73" s="287"/>
      <c r="L73" s="287"/>
      <c r="M73" s="287"/>
      <c r="N73" s="287"/>
      <c r="O73" s="287"/>
      <c r="P73" s="287"/>
      <c r="Q73" s="287"/>
      <c r="R73" s="287"/>
      <c r="S73" s="287"/>
      <c r="T73" s="287"/>
      <c r="U73" s="287"/>
      <c r="V73" s="287"/>
      <c r="W73" s="287"/>
      <c r="X73" s="99"/>
      <c r="Y73" s="287"/>
      <c r="Z73" s="287"/>
      <c r="AA73" s="287"/>
      <c r="AB73" s="287"/>
      <c r="AC73" s="98"/>
    </row>
    <row r="74" spans="11:29">
      <c r="K74" s="287"/>
      <c r="L74" s="287"/>
      <c r="M74" s="287"/>
      <c r="N74" s="287"/>
      <c r="O74" s="287"/>
      <c r="P74" s="287"/>
      <c r="Q74" s="287"/>
      <c r="R74" s="287"/>
      <c r="S74" s="287"/>
      <c r="T74" s="287"/>
      <c r="U74" s="287"/>
      <c r="V74" s="287"/>
      <c r="W74" s="287"/>
      <c r="X74" s="99"/>
      <c r="Y74" s="287"/>
      <c r="Z74" s="287"/>
      <c r="AA74" s="287"/>
      <c r="AB74" s="287"/>
      <c r="AC74" s="98"/>
    </row>
    <row r="75" spans="11:29">
      <c r="K75" s="287"/>
      <c r="L75" s="287"/>
      <c r="M75" s="287"/>
      <c r="N75" s="287"/>
      <c r="O75" s="287"/>
      <c r="P75" s="287"/>
      <c r="Q75" s="287"/>
      <c r="R75" s="287"/>
      <c r="S75" s="287"/>
      <c r="T75" s="287"/>
      <c r="U75" s="287"/>
      <c r="V75" s="287"/>
      <c r="W75" s="287"/>
      <c r="X75" s="99"/>
      <c r="Y75" s="287"/>
      <c r="Z75" s="287"/>
      <c r="AA75" s="287"/>
      <c r="AB75" s="287"/>
      <c r="AC75" s="103"/>
    </row>
    <row r="76" spans="11:29">
      <c r="K76" s="287"/>
      <c r="L76" s="287"/>
      <c r="M76" s="287"/>
      <c r="N76" s="287"/>
      <c r="O76" s="287"/>
      <c r="P76" s="287"/>
      <c r="Q76" s="287"/>
      <c r="R76" s="287"/>
      <c r="S76" s="287"/>
      <c r="T76" s="287"/>
      <c r="U76" s="287"/>
      <c r="V76" s="287"/>
      <c r="W76" s="287"/>
      <c r="X76" s="99"/>
      <c r="Y76" s="287"/>
      <c r="Z76" s="287"/>
      <c r="AA76" s="287"/>
      <c r="AB76" s="287"/>
      <c r="AC76" s="103"/>
    </row>
    <row r="77" spans="11:29">
      <c r="K77" s="287"/>
      <c r="L77" s="287"/>
      <c r="M77" s="287"/>
      <c r="N77" s="287"/>
      <c r="O77" s="287"/>
      <c r="P77" s="287"/>
      <c r="Q77" s="287"/>
      <c r="R77" s="287"/>
      <c r="S77" s="287"/>
      <c r="T77" s="287"/>
      <c r="U77" s="287"/>
      <c r="V77" s="287"/>
      <c r="W77" s="287"/>
      <c r="X77" s="99"/>
      <c r="Y77" s="287"/>
      <c r="Z77" s="287"/>
      <c r="AA77" s="287"/>
      <c r="AB77" s="287"/>
      <c r="AC77" s="103"/>
    </row>
    <row r="78" spans="11:29">
      <c r="K78" s="287"/>
      <c r="L78" s="287"/>
      <c r="M78" s="287"/>
      <c r="N78" s="287"/>
      <c r="O78" s="287"/>
      <c r="P78" s="287"/>
      <c r="Q78" s="287"/>
      <c r="R78" s="287"/>
      <c r="S78" s="287"/>
      <c r="T78" s="287"/>
      <c r="U78" s="287"/>
      <c r="V78" s="287"/>
      <c r="W78" s="287"/>
      <c r="X78" s="99"/>
      <c r="Y78" s="287"/>
      <c r="Z78" s="287"/>
      <c r="AA78" s="287"/>
      <c r="AB78" s="287"/>
      <c r="AC78" s="103"/>
    </row>
    <row r="79" spans="11:29">
      <c r="K79" s="287"/>
      <c r="L79" s="287"/>
      <c r="M79" s="287"/>
      <c r="N79" s="287"/>
      <c r="O79" s="287"/>
      <c r="P79" s="287"/>
      <c r="Q79" s="287"/>
      <c r="R79" s="287"/>
      <c r="S79" s="287"/>
      <c r="T79" s="287"/>
      <c r="U79" s="287"/>
      <c r="V79" s="287"/>
      <c r="W79" s="287"/>
      <c r="X79" s="99"/>
      <c r="Y79" s="287"/>
      <c r="Z79" s="287"/>
      <c r="AA79" s="287"/>
      <c r="AB79" s="287"/>
      <c r="AC79" s="103"/>
    </row>
    <row r="80" spans="11:29">
      <c r="K80" s="287"/>
      <c r="L80" s="287"/>
      <c r="M80" s="287"/>
      <c r="N80" s="287"/>
      <c r="O80" s="287"/>
      <c r="P80" s="287"/>
      <c r="Q80" s="287"/>
      <c r="R80" s="287"/>
      <c r="S80" s="287"/>
      <c r="T80" s="287"/>
      <c r="U80" s="287"/>
      <c r="V80" s="287"/>
      <c r="W80" s="287"/>
      <c r="X80" s="99"/>
      <c r="Y80" s="287"/>
      <c r="Z80" s="287"/>
      <c r="AA80" s="287"/>
      <c r="AB80" s="287"/>
      <c r="AC80" s="103"/>
    </row>
    <row r="81" spans="11:29">
      <c r="K81" s="287"/>
      <c r="L81" s="287"/>
      <c r="M81" s="287"/>
      <c r="N81" s="287"/>
      <c r="O81" s="287"/>
      <c r="P81" s="287"/>
      <c r="Q81" s="287"/>
      <c r="R81" s="287"/>
      <c r="S81" s="287"/>
      <c r="T81" s="287"/>
      <c r="U81" s="287"/>
      <c r="V81" s="287"/>
      <c r="W81" s="287"/>
      <c r="X81" s="99"/>
      <c r="Y81" s="287"/>
      <c r="Z81" s="287"/>
      <c r="AA81" s="287"/>
      <c r="AB81" s="287"/>
      <c r="AC81" s="103"/>
    </row>
    <row r="82" spans="11:29">
      <c r="K82" s="287"/>
      <c r="L82" s="287"/>
      <c r="M82" s="287"/>
      <c r="N82" s="287"/>
      <c r="O82" s="287"/>
      <c r="P82" s="287"/>
      <c r="Q82" s="287"/>
      <c r="R82" s="287"/>
      <c r="S82" s="287"/>
      <c r="T82" s="287"/>
      <c r="U82" s="287"/>
      <c r="V82" s="287"/>
      <c r="W82" s="287"/>
      <c r="X82" s="99"/>
      <c r="Y82" s="287"/>
      <c r="Z82" s="287"/>
      <c r="AA82" s="287"/>
      <c r="AB82" s="287"/>
      <c r="AC82" s="103"/>
    </row>
    <row r="83" spans="11:29">
      <c r="K83" s="287"/>
      <c r="L83" s="287"/>
      <c r="M83" s="287"/>
      <c r="N83" s="287"/>
      <c r="O83" s="287"/>
      <c r="P83" s="287"/>
      <c r="Q83" s="287"/>
      <c r="R83" s="287"/>
      <c r="S83" s="287"/>
      <c r="T83" s="287"/>
      <c r="U83" s="287"/>
      <c r="V83" s="287"/>
      <c r="W83" s="287"/>
      <c r="X83" s="99"/>
      <c r="Y83" s="287"/>
      <c r="Z83" s="287"/>
      <c r="AA83" s="287"/>
      <c r="AB83" s="287"/>
      <c r="AC83" s="103"/>
    </row>
    <row r="84" spans="11:29">
      <c r="K84" s="287"/>
      <c r="L84" s="287"/>
      <c r="M84" s="287"/>
      <c r="N84" s="287"/>
      <c r="O84" s="287"/>
      <c r="P84" s="287"/>
      <c r="Q84" s="287"/>
      <c r="R84" s="287"/>
      <c r="S84" s="287"/>
      <c r="T84" s="287"/>
      <c r="U84" s="287"/>
      <c r="V84" s="287"/>
      <c r="W84" s="287"/>
      <c r="X84" s="99"/>
      <c r="Y84" s="287"/>
      <c r="Z84" s="287"/>
      <c r="AA84" s="287"/>
      <c r="AB84" s="287"/>
      <c r="AC84" s="103"/>
    </row>
    <row r="85" spans="11:29">
      <c r="K85" s="287"/>
      <c r="L85" s="287"/>
      <c r="M85" s="287"/>
      <c r="N85" s="287"/>
      <c r="O85" s="287"/>
      <c r="P85" s="287"/>
      <c r="Q85" s="287"/>
      <c r="R85" s="287"/>
      <c r="S85" s="287"/>
      <c r="T85" s="287"/>
      <c r="U85" s="287"/>
      <c r="V85" s="287"/>
      <c r="W85" s="287"/>
      <c r="X85" s="99"/>
      <c r="Y85" s="287"/>
      <c r="Z85" s="287"/>
      <c r="AA85" s="287"/>
      <c r="AB85" s="287"/>
      <c r="AC85" s="103"/>
    </row>
    <row r="86" spans="11:29">
      <c r="K86" s="287"/>
      <c r="L86" s="287"/>
      <c r="M86" s="287"/>
      <c r="N86" s="287"/>
      <c r="O86" s="287"/>
      <c r="P86" s="287"/>
      <c r="Q86" s="287"/>
      <c r="R86" s="287"/>
      <c r="S86" s="287"/>
      <c r="T86" s="287"/>
      <c r="U86" s="287"/>
      <c r="V86" s="287"/>
      <c r="W86" s="287"/>
      <c r="X86" s="99"/>
      <c r="Y86" s="287"/>
      <c r="Z86" s="287"/>
      <c r="AA86" s="287"/>
      <c r="AB86" s="287"/>
      <c r="AC86" s="103"/>
    </row>
    <row r="87" spans="11:29">
      <c r="K87" s="287"/>
      <c r="L87" s="287"/>
      <c r="M87" s="287"/>
      <c r="N87" s="287"/>
      <c r="O87" s="287"/>
      <c r="P87" s="287"/>
      <c r="Q87" s="287"/>
      <c r="R87" s="287"/>
      <c r="S87" s="287"/>
      <c r="T87" s="287"/>
      <c r="U87" s="287"/>
      <c r="V87" s="287"/>
      <c r="W87" s="287"/>
      <c r="X87" s="99"/>
      <c r="Y87" s="287"/>
      <c r="Z87" s="287"/>
      <c r="AA87" s="287"/>
      <c r="AB87" s="287"/>
      <c r="AC87" s="103"/>
    </row>
    <row r="88" spans="11:29">
      <c r="K88" s="287"/>
      <c r="L88" s="287"/>
      <c r="M88" s="287"/>
      <c r="N88" s="287"/>
      <c r="O88" s="287"/>
      <c r="P88" s="287"/>
      <c r="Q88" s="287"/>
      <c r="R88" s="287"/>
      <c r="S88" s="287"/>
      <c r="T88" s="287"/>
      <c r="U88" s="287"/>
      <c r="V88" s="287"/>
      <c r="W88" s="287"/>
      <c r="X88" s="99"/>
      <c r="Y88" s="287"/>
      <c r="Z88" s="287"/>
      <c r="AA88" s="287"/>
      <c r="AB88" s="287"/>
      <c r="AC88" s="103"/>
    </row>
    <row r="89" spans="11:29">
      <c r="K89" s="287"/>
      <c r="L89" s="287"/>
      <c r="M89" s="287"/>
      <c r="N89" s="287"/>
      <c r="O89" s="287"/>
      <c r="P89" s="287"/>
      <c r="Q89" s="287"/>
      <c r="R89" s="287"/>
      <c r="S89" s="287"/>
      <c r="T89" s="287"/>
      <c r="U89" s="287"/>
      <c r="V89" s="287"/>
      <c r="W89" s="287"/>
      <c r="X89" s="99"/>
      <c r="Y89" s="287"/>
      <c r="Z89" s="287"/>
      <c r="AA89" s="287"/>
      <c r="AB89" s="287"/>
      <c r="AC89" s="103"/>
    </row>
    <row r="90" spans="11:29">
      <c r="K90" s="287"/>
      <c r="L90" s="287"/>
      <c r="M90" s="287"/>
      <c r="N90" s="287"/>
      <c r="O90" s="287"/>
      <c r="P90" s="287"/>
      <c r="Q90" s="287"/>
      <c r="R90" s="287"/>
      <c r="S90" s="287"/>
      <c r="T90" s="287"/>
      <c r="U90" s="287"/>
      <c r="V90" s="287"/>
      <c r="W90" s="287"/>
      <c r="X90" s="99"/>
      <c r="Y90" s="287"/>
      <c r="Z90" s="287"/>
      <c r="AA90" s="287"/>
      <c r="AB90" s="287"/>
      <c r="AC90" s="103"/>
    </row>
    <row r="91" spans="11:29">
      <c r="K91" s="287"/>
      <c r="L91" s="287"/>
      <c r="M91" s="287"/>
      <c r="N91" s="287"/>
      <c r="O91" s="287"/>
      <c r="P91" s="287"/>
      <c r="Q91" s="287"/>
      <c r="R91" s="287"/>
      <c r="S91" s="287"/>
      <c r="T91" s="287"/>
      <c r="U91" s="287"/>
      <c r="V91" s="287"/>
      <c r="W91" s="287"/>
      <c r="X91" s="99"/>
      <c r="Y91" s="287"/>
      <c r="Z91" s="287"/>
      <c r="AA91" s="287"/>
      <c r="AB91" s="287"/>
      <c r="AC91" s="103"/>
    </row>
    <row r="92" spans="11:29">
      <c r="K92" s="287"/>
      <c r="L92" s="287"/>
      <c r="M92" s="287"/>
      <c r="N92" s="287"/>
      <c r="O92" s="287"/>
      <c r="P92" s="287"/>
      <c r="Q92" s="287"/>
      <c r="R92" s="287"/>
      <c r="S92" s="287"/>
      <c r="T92" s="287"/>
      <c r="U92" s="287"/>
      <c r="V92" s="287"/>
      <c r="W92" s="287"/>
      <c r="X92" s="99"/>
      <c r="Y92" s="287"/>
      <c r="Z92" s="287"/>
      <c r="AA92" s="287"/>
      <c r="AB92" s="287"/>
      <c r="AC92" s="103"/>
    </row>
    <row r="93" spans="11:29">
      <c r="K93" s="287"/>
      <c r="L93" s="287"/>
      <c r="M93" s="287"/>
      <c r="N93" s="287"/>
      <c r="O93" s="287"/>
      <c r="P93" s="287"/>
      <c r="Q93" s="287"/>
      <c r="R93" s="287"/>
      <c r="S93" s="287"/>
      <c r="T93" s="287"/>
      <c r="U93" s="287"/>
      <c r="V93" s="287"/>
      <c r="W93" s="287"/>
      <c r="X93" s="99"/>
      <c r="Y93" s="287"/>
      <c r="Z93" s="287"/>
      <c r="AA93" s="287"/>
      <c r="AB93" s="287"/>
      <c r="AC93" s="103"/>
    </row>
    <row r="94" spans="11:29">
      <c r="K94" s="287"/>
      <c r="L94" s="287"/>
      <c r="M94" s="287"/>
      <c r="N94" s="287"/>
      <c r="O94" s="287"/>
      <c r="P94" s="287"/>
      <c r="Q94" s="287"/>
      <c r="R94" s="287"/>
      <c r="S94" s="287"/>
      <c r="T94" s="287"/>
      <c r="U94" s="287"/>
      <c r="V94" s="287"/>
      <c r="W94" s="287"/>
      <c r="X94" s="99"/>
      <c r="Y94" s="287"/>
      <c r="Z94" s="287"/>
      <c r="AA94" s="287"/>
      <c r="AB94" s="287"/>
      <c r="AC94" s="103"/>
    </row>
    <row r="95" spans="11:29">
      <c r="K95" s="287"/>
      <c r="L95" s="287"/>
      <c r="M95" s="287"/>
      <c r="N95" s="287"/>
      <c r="O95" s="287"/>
      <c r="P95" s="287"/>
      <c r="Q95" s="287"/>
      <c r="R95" s="287"/>
      <c r="S95" s="287"/>
      <c r="T95" s="287"/>
      <c r="U95" s="287"/>
      <c r="V95" s="287"/>
      <c r="W95" s="287"/>
      <c r="X95" s="287"/>
      <c r="Y95" s="287"/>
      <c r="Z95" s="287"/>
      <c r="AA95" s="287"/>
      <c r="AB95" s="287"/>
      <c r="AC95" s="287"/>
    </row>
    <row r="96" spans="11:29">
      <c r="K96" s="287"/>
      <c r="L96" s="287"/>
      <c r="M96" s="287"/>
      <c r="N96" s="287"/>
      <c r="O96" s="287"/>
      <c r="P96" s="287"/>
      <c r="Q96" s="287"/>
      <c r="R96" s="287"/>
      <c r="S96" s="287"/>
      <c r="T96" s="287"/>
      <c r="U96" s="287"/>
      <c r="V96" s="287"/>
      <c r="W96" s="287"/>
      <c r="X96" s="287"/>
      <c r="Y96" s="287"/>
      <c r="Z96" s="287"/>
      <c r="AA96" s="287"/>
      <c r="AB96" s="287"/>
      <c r="AC96" s="287"/>
    </row>
    <row r="97" spans="11:29">
      <c r="K97" s="287"/>
      <c r="L97" s="287"/>
      <c r="M97" s="287"/>
      <c r="N97" s="287"/>
      <c r="O97" s="287"/>
      <c r="P97" s="287"/>
      <c r="Q97" s="287"/>
      <c r="R97" s="287"/>
      <c r="S97" s="287"/>
      <c r="T97" s="287"/>
      <c r="U97" s="287"/>
      <c r="V97" s="287"/>
      <c r="W97" s="287"/>
      <c r="X97" s="287"/>
      <c r="Y97" s="287"/>
      <c r="Z97" s="287"/>
      <c r="AA97" s="287"/>
      <c r="AB97" s="287"/>
      <c r="AC97" s="287"/>
    </row>
    <row r="98" spans="11:29">
      <c r="K98" s="287"/>
      <c r="L98" s="287"/>
      <c r="M98" s="287"/>
      <c r="N98" s="287"/>
      <c r="O98" s="287"/>
      <c r="P98" s="287"/>
      <c r="Q98" s="287"/>
      <c r="R98" s="287"/>
      <c r="S98" s="287"/>
      <c r="T98" s="287"/>
      <c r="U98" s="287"/>
      <c r="V98" s="287"/>
      <c r="W98" s="287"/>
      <c r="X98" s="287"/>
      <c r="Y98" s="287"/>
      <c r="Z98" s="287"/>
      <c r="AA98" s="287"/>
      <c r="AB98" s="287"/>
      <c r="AC98" s="287"/>
    </row>
    <row r="99" spans="11:29">
      <c r="K99" s="287"/>
      <c r="L99" s="287"/>
      <c r="M99" s="287"/>
      <c r="N99" s="287"/>
      <c r="O99" s="287"/>
      <c r="P99" s="287"/>
      <c r="Q99" s="287"/>
      <c r="R99" s="287"/>
      <c r="S99" s="287"/>
      <c r="T99" s="287"/>
      <c r="U99" s="287"/>
      <c r="V99" s="287"/>
      <c r="W99" s="287"/>
      <c r="X99" s="287"/>
      <c r="Y99" s="287"/>
      <c r="Z99" s="287"/>
      <c r="AA99" s="287"/>
      <c r="AB99" s="287"/>
      <c r="AC99" s="287"/>
    </row>
    <row r="100" spans="11:29">
      <c r="K100" s="287"/>
      <c r="L100" s="287"/>
      <c r="M100" s="287"/>
      <c r="N100" s="287"/>
      <c r="O100" s="287"/>
      <c r="P100" s="287"/>
      <c r="Q100" s="287"/>
      <c r="R100" s="287"/>
      <c r="S100" s="287"/>
      <c r="T100" s="287"/>
      <c r="U100" s="287"/>
      <c r="V100" s="287"/>
      <c r="W100" s="287"/>
      <c r="X100" s="287"/>
      <c r="Y100" s="287"/>
      <c r="Z100" s="287"/>
      <c r="AA100" s="287"/>
      <c r="AB100" s="287"/>
      <c r="AC100" s="287"/>
    </row>
    <row r="101" spans="11:29">
      <c r="K101" s="287"/>
      <c r="L101" s="287"/>
      <c r="M101" s="287"/>
      <c r="N101" s="287"/>
      <c r="O101" s="287"/>
      <c r="P101" s="287"/>
      <c r="Q101" s="287"/>
      <c r="R101" s="287"/>
      <c r="S101" s="287"/>
      <c r="T101" s="287"/>
      <c r="U101" s="287"/>
      <c r="V101" s="287"/>
      <c r="W101" s="287"/>
      <c r="X101" s="287"/>
      <c r="Y101" s="287"/>
      <c r="Z101" s="287"/>
      <c r="AA101" s="287"/>
      <c r="AB101" s="287"/>
      <c r="AC101" s="287"/>
    </row>
    <row r="102" spans="11:29">
      <c r="K102" s="287"/>
      <c r="L102" s="287"/>
      <c r="M102" s="287"/>
      <c r="N102" s="287"/>
      <c r="O102" s="287"/>
      <c r="P102" s="287"/>
      <c r="Q102" s="287"/>
      <c r="R102" s="287"/>
      <c r="S102" s="287"/>
      <c r="T102" s="287"/>
      <c r="U102" s="287"/>
      <c r="V102" s="287"/>
      <c r="W102" s="287"/>
      <c r="X102" s="287"/>
      <c r="Y102" s="287"/>
      <c r="Z102" s="287"/>
      <c r="AA102" s="287"/>
      <c r="AB102" s="287"/>
      <c r="AC102" s="287"/>
    </row>
    <row r="103" spans="11:29">
      <c r="K103" s="287"/>
      <c r="L103" s="287"/>
      <c r="M103" s="287"/>
      <c r="N103" s="287"/>
      <c r="O103" s="287"/>
      <c r="P103" s="287"/>
      <c r="Q103" s="287"/>
      <c r="R103" s="287"/>
      <c r="S103" s="287"/>
      <c r="T103" s="287"/>
      <c r="U103" s="287"/>
      <c r="V103" s="287"/>
      <c r="W103" s="287"/>
      <c r="X103" s="287"/>
      <c r="Y103" s="287"/>
      <c r="Z103" s="287"/>
      <c r="AA103" s="287"/>
      <c r="AB103" s="287"/>
      <c r="AC103" s="287"/>
    </row>
    <row r="104" spans="11:29">
      <c r="K104" s="287"/>
      <c r="L104" s="287"/>
      <c r="M104" s="287"/>
      <c r="N104" s="287"/>
      <c r="O104" s="287"/>
      <c r="P104" s="287"/>
      <c r="Q104" s="287"/>
      <c r="R104" s="287"/>
      <c r="S104" s="287"/>
      <c r="T104" s="287"/>
      <c r="U104" s="287"/>
      <c r="V104" s="287"/>
      <c r="W104" s="287"/>
      <c r="X104" s="287"/>
      <c r="Y104" s="287"/>
      <c r="Z104" s="287"/>
      <c r="AA104" s="287"/>
      <c r="AB104" s="287"/>
      <c r="AC104" s="287"/>
    </row>
    <row r="105" spans="11:29">
      <c r="K105" s="287"/>
      <c r="L105" s="287"/>
      <c r="M105" s="287"/>
      <c r="N105" s="287"/>
      <c r="O105" s="287"/>
      <c r="P105" s="287"/>
      <c r="Q105" s="287"/>
      <c r="R105" s="287"/>
      <c r="S105" s="287"/>
      <c r="T105" s="287"/>
      <c r="U105" s="287"/>
      <c r="V105" s="287"/>
      <c r="W105" s="287"/>
      <c r="X105" s="287"/>
      <c r="Y105" s="287"/>
      <c r="Z105" s="287"/>
      <c r="AA105" s="287"/>
      <c r="AB105" s="287"/>
      <c r="AC105" s="287"/>
    </row>
    <row r="106" spans="11:29">
      <c r="K106" s="287"/>
      <c r="L106" s="287"/>
      <c r="M106" s="287"/>
      <c r="N106" s="287"/>
      <c r="O106" s="287"/>
      <c r="P106" s="287"/>
      <c r="Q106" s="287"/>
      <c r="R106" s="287"/>
      <c r="S106" s="287"/>
      <c r="T106" s="287"/>
      <c r="U106" s="287"/>
      <c r="V106" s="287"/>
      <c r="W106" s="287"/>
      <c r="X106" s="287"/>
      <c r="Y106" s="287"/>
      <c r="Z106" s="287"/>
      <c r="AA106" s="287"/>
      <c r="AB106" s="287"/>
      <c r="AC106" s="287"/>
    </row>
    <row r="107" spans="11:29">
      <c r="K107" s="287"/>
      <c r="L107" s="287"/>
      <c r="M107" s="287"/>
      <c r="N107" s="287"/>
      <c r="O107" s="287"/>
      <c r="P107" s="287"/>
      <c r="Q107" s="287"/>
      <c r="R107" s="287"/>
      <c r="S107" s="287"/>
      <c r="T107" s="287"/>
      <c r="U107" s="287"/>
      <c r="V107" s="287"/>
      <c r="W107" s="287"/>
      <c r="X107" s="287"/>
      <c r="Y107" s="287"/>
      <c r="Z107" s="287"/>
      <c r="AA107" s="287"/>
      <c r="AB107" s="287"/>
      <c r="AC107" s="287"/>
    </row>
    <row r="108" spans="11:29">
      <c r="K108" s="287"/>
      <c r="L108" s="287"/>
      <c r="M108" s="287"/>
      <c r="N108" s="287"/>
      <c r="O108" s="287"/>
      <c r="P108" s="287"/>
      <c r="Q108" s="287"/>
      <c r="R108" s="287"/>
      <c r="S108" s="287"/>
      <c r="T108" s="287"/>
      <c r="U108" s="287"/>
      <c r="V108" s="287"/>
      <c r="W108" s="287"/>
      <c r="X108" s="287"/>
      <c r="Y108" s="287"/>
      <c r="Z108" s="287"/>
      <c r="AA108" s="287"/>
      <c r="AB108" s="287"/>
      <c r="AC108" s="287"/>
    </row>
    <row r="109" spans="11:29">
      <c r="K109" s="287"/>
      <c r="L109" s="287"/>
      <c r="M109" s="287"/>
      <c r="N109" s="287"/>
      <c r="O109" s="287"/>
      <c r="P109" s="287"/>
      <c r="Q109" s="287"/>
      <c r="R109" s="287"/>
      <c r="S109" s="287"/>
      <c r="T109" s="287"/>
      <c r="U109" s="287"/>
      <c r="V109" s="287"/>
      <c r="W109" s="287"/>
      <c r="X109" s="287"/>
      <c r="Y109" s="287"/>
      <c r="Z109" s="287"/>
      <c r="AA109" s="287"/>
      <c r="AB109" s="287"/>
      <c r="AC109" s="287"/>
    </row>
    <row r="110" spans="11:29">
      <c r="K110" s="287"/>
      <c r="L110" s="287"/>
      <c r="M110" s="287"/>
      <c r="N110" s="287"/>
      <c r="O110" s="287"/>
      <c r="P110" s="287"/>
      <c r="Q110" s="287"/>
      <c r="R110" s="287"/>
      <c r="S110" s="287"/>
      <c r="T110" s="287"/>
      <c r="U110" s="287"/>
      <c r="V110" s="287"/>
      <c r="W110" s="287"/>
      <c r="X110" s="287"/>
      <c r="Y110" s="287"/>
      <c r="Z110" s="287"/>
      <c r="AA110" s="287"/>
      <c r="AB110" s="287"/>
      <c r="AC110" s="287"/>
    </row>
    <row r="111" spans="11:29">
      <c r="K111" s="287"/>
      <c r="L111" s="287"/>
      <c r="M111" s="287"/>
      <c r="N111" s="287"/>
      <c r="O111" s="287"/>
      <c r="P111" s="287"/>
      <c r="Q111" s="287"/>
      <c r="R111" s="287"/>
      <c r="S111" s="287"/>
      <c r="T111" s="287"/>
      <c r="U111" s="287"/>
      <c r="V111" s="287"/>
      <c r="W111" s="287"/>
      <c r="X111" s="287"/>
      <c r="Y111" s="287"/>
      <c r="Z111" s="287"/>
      <c r="AA111" s="287"/>
      <c r="AB111" s="287"/>
      <c r="AC111" s="287"/>
    </row>
    <row r="112" spans="11:29">
      <c r="K112" s="287"/>
      <c r="L112" s="287"/>
      <c r="M112" s="287"/>
      <c r="N112" s="287"/>
      <c r="O112" s="287"/>
      <c r="P112" s="287"/>
      <c r="Q112" s="287"/>
      <c r="R112" s="287"/>
      <c r="S112" s="287"/>
      <c r="T112" s="287"/>
      <c r="U112" s="287"/>
      <c r="V112" s="287"/>
      <c r="W112" s="287"/>
      <c r="X112" s="287"/>
      <c r="Y112" s="287"/>
      <c r="Z112" s="287"/>
      <c r="AA112" s="287"/>
      <c r="AB112" s="287"/>
      <c r="AC112" s="287"/>
    </row>
    <row r="113" spans="11:29">
      <c r="K113" s="287"/>
      <c r="L113" s="287"/>
      <c r="M113" s="287"/>
      <c r="N113" s="287"/>
      <c r="O113" s="287"/>
      <c r="P113" s="287"/>
      <c r="Q113" s="287"/>
      <c r="R113" s="287"/>
      <c r="S113" s="287"/>
      <c r="T113" s="287"/>
      <c r="U113" s="287"/>
      <c r="V113" s="287"/>
      <c r="W113" s="287"/>
      <c r="X113" s="287"/>
      <c r="Y113" s="287"/>
      <c r="Z113" s="287"/>
      <c r="AA113" s="287"/>
      <c r="AB113" s="287"/>
      <c r="AC113" s="287"/>
    </row>
    <row r="114" spans="11:29">
      <c r="K114" s="287"/>
      <c r="L114" s="287"/>
      <c r="M114" s="287"/>
      <c r="N114" s="287"/>
      <c r="O114" s="287"/>
      <c r="P114" s="287"/>
      <c r="Q114" s="287"/>
      <c r="R114" s="287"/>
      <c r="S114" s="287"/>
      <c r="T114" s="287"/>
      <c r="U114" s="287"/>
      <c r="V114" s="287"/>
      <c r="W114" s="287"/>
      <c r="X114" s="287"/>
      <c r="Y114" s="287"/>
      <c r="Z114" s="287"/>
      <c r="AA114" s="287"/>
      <c r="AB114" s="287"/>
      <c r="AC114" s="287"/>
    </row>
    <row r="115" spans="11:29">
      <c r="K115" s="287"/>
      <c r="L115" s="287"/>
      <c r="M115" s="287"/>
      <c r="N115" s="287"/>
      <c r="O115" s="287"/>
      <c r="P115" s="287"/>
      <c r="Q115" s="287"/>
      <c r="R115" s="287"/>
      <c r="S115" s="287"/>
      <c r="T115" s="287"/>
      <c r="U115" s="287"/>
      <c r="V115" s="287"/>
      <c r="W115" s="287"/>
      <c r="X115" s="287"/>
      <c r="Y115" s="287"/>
      <c r="Z115" s="287"/>
      <c r="AA115" s="287"/>
      <c r="AB115" s="287"/>
      <c r="AC115" s="287"/>
    </row>
    <row r="116" spans="11:29">
      <c r="K116" s="287"/>
      <c r="L116" s="287"/>
      <c r="M116" s="287"/>
      <c r="N116" s="287"/>
      <c r="O116" s="287"/>
      <c r="P116" s="287"/>
      <c r="Q116" s="287"/>
      <c r="R116" s="287"/>
      <c r="S116" s="287"/>
      <c r="T116" s="287"/>
      <c r="U116" s="287"/>
      <c r="V116" s="287"/>
      <c r="W116" s="287"/>
      <c r="X116" s="287"/>
      <c r="Y116" s="287"/>
      <c r="Z116" s="287"/>
      <c r="AA116" s="287"/>
      <c r="AB116" s="287"/>
      <c r="AC116" s="287"/>
    </row>
    <row r="117" spans="11:29">
      <c r="K117" s="287"/>
      <c r="L117" s="287"/>
      <c r="M117" s="287"/>
      <c r="N117" s="287"/>
      <c r="O117" s="287"/>
      <c r="P117" s="287"/>
      <c r="Q117" s="287"/>
      <c r="R117" s="287"/>
      <c r="S117" s="287"/>
      <c r="T117" s="287"/>
      <c r="U117" s="287"/>
      <c r="V117" s="287"/>
      <c r="W117" s="287"/>
      <c r="X117" s="287"/>
      <c r="Y117" s="287"/>
      <c r="Z117" s="287"/>
      <c r="AA117" s="287"/>
      <c r="AB117" s="287"/>
      <c r="AC117" s="287"/>
    </row>
    <row r="118" spans="11:29">
      <c r="K118" s="287"/>
      <c r="L118" s="287"/>
      <c r="M118" s="287"/>
      <c r="N118" s="287"/>
      <c r="O118" s="287"/>
      <c r="P118" s="287"/>
      <c r="Q118" s="287"/>
      <c r="R118" s="287"/>
      <c r="S118" s="287"/>
      <c r="T118" s="287"/>
      <c r="U118" s="287"/>
      <c r="V118" s="287"/>
      <c r="W118" s="287"/>
      <c r="X118" s="287"/>
      <c r="Y118" s="287"/>
      <c r="Z118" s="287"/>
      <c r="AA118" s="287"/>
      <c r="AB118" s="287"/>
      <c r="AC118" s="287"/>
    </row>
    <row r="119" spans="11:29">
      <c r="K119" s="287"/>
      <c r="L119" s="287"/>
      <c r="M119" s="287"/>
      <c r="N119" s="287"/>
      <c r="O119" s="287"/>
      <c r="P119" s="287"/>
      <c r="Q119" s="287"/>
      <c r="R119" s="287"/>
      <c r="S119" s="287"/>
      <c r="T119" s="287"/>
      <c r="U119" s="287"/>
      <c r="V119" s="287"/>
      <c r="W119" s="287"/>
      <c r="X119" s="287"/>
      <c r="Y119" s="287"/>
      <c r="Z119" s="287"/>
      <c r="AA119" s="287"/>
      <c r="AB119" s="287"/>
      <c r="AC119" s="287"/>
    </row>
    <row r="120" spans="11:29">
      <c r="K120" s="287"/>
      <c r="L120" s="287"/>
      <c r="M120" s="287"/>
      <c r="N120" s="287"/>
      <c r="O120" s="287"/>
      <c r="P120" s="287"/>
      <c r="Q120" s="287"/>
      <c r="R120" s="287"/>
      <c r="S120" s="287"/>
      <c r="T120" s="287"/>
      <c r="U120" s="287"/>
      <c r="V120" s="287"/>
      <c r="W120" s="287"/>
      <c r="X120" s="287"/>
      <c r="Y120" s="287"/>
      <c r="Z120" s="287"/>
      <c r="AA120" s="287"/>
      <c r="AB120" s="287"/>
      <c r="AC120" s="287"/>
    </row>
    <row r="121" spans="11:29">
      <c r="K121" s="287"/>
      <c r="L121" s="287"/>
      <c r="M121" s="287"/>
      <c r="N121" s="287"/>
      <c r="O121" s="287"/>
      <c r="P121" s="287"/>
      <c r="Q121" s="287"/>
      <c r="R121" s="287"/>
      <c r="S121" s="287"/>
      <c r="T121" s="287"/>
      <c r="U121" s="287"/>
      <c r="V121" s="287"/>
      <c r="W121" s="287"/>
      <c r="X121" s="287"/>
      <c r="Y121" s="287"/>
      <c r="Z121" s="287"/>
      <c r="AA121" s="287"/>
      <c r="AB121" s="287"/>
      <c r="AC121" s="287"/>
    </row>
    <row r="122" spans="11:29">
      <c r="K122" s="287"/>
      <c r="L122" s="287"/>
      <c r="M122" s="287"/>
      <c r="N122" s="287"/>
      <c r="O122" s="287"/>
      <c r="P122" s="287"/>
      <c r="Q122" s="287"/>
      <c r="R122" s="287"/>
      <c r="S122" s="287"/>
      <c r="T122" s="287"/>
      <c r="U122" s="287"/>
      <c r="V122" s="287"/>
      <c r="W122" s="287"/>
      <c r="X122" s="287"/>
      <c r="Y122" s="287"/>
      <c r="Z122" s="287"/>
      <c r="AA122" s="287"/>
      <c r="AB122" s="287"/>
      <c r="AC122" s="287"/>
    </row>
    <row r="123" spans="11:29">
      <c r="K123" s="287"/>
      <c r="L123" s="287"/>
      <c r="M123" s="287"/>
      <c r="N123" s="287"/>
      <c r="O123" s="287"/>
      <c r="P123" s="287"/>
      <c r="Q123" s="287"/>
      <c r="R123" s="287"/>
      <c r="S123" s="287"/>
      <c r="T123" s="287"/>
      <c r="U123" s="287"/>
      <c r="V123" s="287"/>
      <c r="W123" s="287"/>
      <c r="X123" s="287"/>
      <c r="Y123" s="287"/>
      <c r="Z123" s="287"/>
      <c r="AA123" s="287"/>
      <c r="AB123" s="287"/>
      <c r="AC123" s="287"/>
    </row>
  </sheetData>
  <mergeCells count="7">
    <mergeCell ref="C21:D21"/>
    <mergeCell ref="C22:D22"/>
    <mergeCell ref="A18:B18"/>
    <mergeCell ref="A1:D1"/>
    <mergeCell ref="C20:D20"/>
    <mergeCell ref="D3:D6"/>
    <mergeCell ref="D7:D8"/>
  </mergeCells>
  <phoneticPr fontId="2" type="noConversion"/>
  <hyperlinks>
    <hyperlink ref="C20" location="'M1'!A1" display="RETOUR MENU"/>
    <hyperlink ref="C21" location="'28'!A1" display="RETOUR FLEXION"/>
    <hyperlink ref="C22" location="'28'!A1" display="RETOUR FLEXION"/>
  </hyperlinks>
  <pageMargins left="0.78740157499999996" right="0.78740157499999996" top="0.984251969" bottom="0.984251969" header="0.4921259845" footer="0.4921259845"/>
  <pageSetup paperSize="9" orientation="portrait"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21" r:id="rId4" name="Drop Down 21">
              <controlPr locked="0" defaultSize="0" autoLine="0" autoPict="0">
                <anchor moveWithCells="1">
                  <from>
                    <xdr:col>0</xdr:col>
                    <xdr:colOff>0</xdr:colOff>
                    <xdr:row>1</xdr:row>
                    <xdr:rowOff>0</xdr:rowOff>
                  </from>
                  <to>
                    <xdr:col>2</xdr:col>
                    <xdr:colOff>793630</xdr:colOff>
                    <xdr:row>1</xdr:row>
                    <xdr:rowOff>319177</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B1:D19"/>
  <sheetViews>
    <sheetView workbookViewId="0">
      <selection activeCell="B12" sqref="B12:C12"/>
    </sheetView>
  </sheetViews>
  <sheetFormatPr baseColWidth="10" defaultRowHeight="12.9"/>
  <cols>
    <col min="1" max="1" width="8.375" customWidth="1"/>
    <col min="2" max="2" width="12.25" customWidth="1"/>
    <col min="3" max="3" width="98.75" customWidth="1"/>
  </cols>
  <sheetData>
    <row r="1" spans="2:4" s="117" customFormat="1" ht="19.55" customHeight="1">
      <c r="B1" s="1252" t="s">
        <v>504</v>
      </c>
      <c r="C1" s="1249"/>
    </row>
    <row r="2" spans="2:4" s="117" customFormat="1" ht="22.6" customHeight="1"/>
    <row r="3" spans="2:4" s="117" customFormat="1" ht="18.7" customHeight="1">
      <c r="B3" s="1253"/>
      <c r="C3" s="1254"/>
    </row>
    <row r="4" spans="2:4" s="173" customFormat="1" ht="18" customHeight="1">
      <c r="B4" s="329" t="s">
        <v>360</v>
      </c>
      <c r="C4" s="353" t="s">
        <v>133</v>
      </c>
      <c r="D4" s="173">
        <v>2</v>
      </c>
    </row>
    <row r="5" spans="2:4" s="173" customFormat="1" ht="18" customHeight="1">
      <c r="B5" s="329" t="s">
        <v>361</v>
      </c>
      <c r="C5" s="353" t="s">
        <v>1140</v>
      </c>
      <c r="D5" s="173">
        <v>3</v>
      </c>
    </row>
    <row r="6" spans="2:4" s="173" customFormat="1" ht="18" customHeight="1">
      <c r="B6" s="329" t="s">
        <v>362</v>
      </c>
      <c r="C6" s="353" t="s">
        <v>1141</v>
      </c>
      <c r="D6" s="173">
        <v>4</v>
      </c>
    </row>
    <row r="7" spans="2:4" s="173" customFormat="1" ht="18" customHeight="1">
      <c r="B7" s="329" t="s">
        <v>395</v>
      </c>
      <c r="C7" s="353" t="s">
        <v>396</v>
      </c>
      <c r="D7" s="173">
        <v>5</v>
      </c>
    </row>
    <row r="8" spans="2:4" s="173" customFormat="1" ht="18" customHeight="1">
      <c r="B8" s="329" t="s">
        <v>363</v>
      </c>
      <c r="C8" s="353" t="s">
        <v>1143</v>
      </c>
      <c r="D8" s="173">
        <v>7</v>
      </c>
    </row>
    <row r="9" spans="2:4" s="174" customFormat="1" ht="18" customHeight="1">
      <c r="B9" s="330" t="s">
        <v>364</v>
      </c>
      <c r="C9" s="353" t="s">
        <v>1144</v>
      </c>
      <c r="D9" s="174">
        <v>8</v>
      </c>
    </row>
    <row r="10" spans="2:4" s="174" customFormat="1" ht="18" customHeight="1">
      <c r="B10" s="329" t="s">
        <v>395</v>
      </c>
      <c r="C10" s="1182" t="s">
        <v>1247</v>
      </c>
      <c r="D10" s="174">
        <v>30</v>
      </c>
    </row>
    <row r="11" spans="2:4" ht="50.95" customHeight="1">
      <c r="C11" s="175"/>
    </row>
    <row r="12" spans="2:4" ht="17.350000000000001" customHeight="1">
      <c r="B12" s="1255" t="s">
        <v>398</v>
      </c>
      <c r="C12" s="1256"/>
    </row>
    <row r="13" spans="2:4" s="287" customFormat="1" ht="17.350000000000001" customHeight="1">
      <c r="C13" s="341"/>
    </row>
    <row r="14" spans="2:4" s="287" customFormat="1" ht="17.350000000000001" customHeight="1">
      <c r="C14" s="341"/>
    </row>
    <row r="15" spans="2:4" s="287" customFormat="1" ht="17.350000000000001" customHeight="1">
      <c r="C15" s="341"/>
    </row>
    <row r="19" spans="2:3" ht="15.65">
      <c r="B19" s="1250"/>
      <c r="C19" s="1251"/>
    </row>
  </sheetData>
  <mergeCells count="4">
    <mergeCell ref="B1:C1"/>
    <mergeCell ref="B3:C3"/>
    <mergeCell ref="B12:C12"/>
    <mergeCell ref="B19:C19"/>
  </mergeCells>
  <phoneticPr fontId="2" type="noConversion"/>
  <hyperlinks>
    <hyperlink ref="C5" location="'3'!A1" display="Coefficient de hauteur Kh en flexion et en traction"/>
    <hyperlink ref="C6" location="'4'!A1" display="Coefficient de déversement en flexion Kcrit"/>
    <hyperlink ref="C8" location="'7'!A1" display="Coefficient pour les entailles de poutres Kv"/>
    <hyperlink ref="C9" location="'8'!A1" display="Coefficients pour poutres à IV ou Courbes kl, kv, kp"/>
    <hyperlink ref="C4" location="'2'!A1" display="Coefficient kc,90 pour compression transversale sur appuis"/>
    <hyperlink ref="C7" location="'5'!A1" display="Coefficient de flambement "/>
    <hyperlink ref="B12:C12" location="MP!A1" display="RETOUR AU MENU PRINCIPAL"/>
    <hyperlink ref="C10" location="'30'!A1" display="Coefficient de flambement poteaux avec deux moises"/>
  </hyperlinks>
  <pageMargins left="0.78740157499999996" right="0.78740157499999996" top="0.984251969" bottom="0.984251969" header="0.4921259845" footer="0.4921259845"/>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dimension ref="A1:Q26"/>
  <sheetViews>
    <sheetView topLeftCell="A4" workbookViewId="0">
      <selection activeCell="I7" sqref="I7"/>
    </sheetView>
  </sheetViews>
  <sheetFormatPr baseColWidth="10" defaultRowHeight="13.6"/>
  <cols>
    <col min="1" max="1" width="11.375" style="89" customWidth="1"/>
    <col min="2" max="2" width="15.875" customWidth="1"/>
    <col min="3" max="3" width="5.25" customWidth="1"/>
    <col min="4" max="4" width="22" customWidth="1"/>
    <col min="5" max="5" width="28.375" customWidth="1"/>
    <col min="6" max="6" width="13.625" customWidth="1"/>
    <col min="7" max="7" width="4.25" customWidth="1"/>
    <col min="8" max="8" width="11.625" customWidth="1"/>
    <col min="9" max="9" width="14.125" customWidth="1"/>
    <col min="10" max="10" width="11.875" customWidth="1"/>
  </cols>
  <sheetData>
    <row r="1" spans="1:17" ht="19.55" customHeight="1">
      <c r="A1" s="357" t="s">
        <v>419</v>
      </c>
      <c r="B1" s="364"/>
      <c r="C1" s="364"/>
      <c r="D1" s="364"/>
      <c r="E1" s="364"/>
      <c r="I1" s="76" t="s">
        <v>1084</v>
      </c>
      <c r="J1" s="176"/>
    </row>
    <row r="2" spans="1:17" ht="19.55" customHeight="1">
      <c r="I2" s="76" t="s">
        <v>1085</v>
      </c>
      <c r="J2" s="9"/>
    </row>
    <row r="3" spans="1:17" s="266" customFormat="1" ht="22.6" customHeight="1" thickBot="1">
      <c r="A3" s="357" t="s">
        <v>420</v>
      </c>
      <c r="B3" s="354"/>
      <c r="C3" s="355"/>
      <c r="D3" s="355"/>
      <c r="E3" s="356"/>
      <c r="J3" s="402"/>
      <c r="M3" s="266" t="s">
        <v>106</v>
      </c>
      <c r="N3" s="266">
        <f>MAX(1,Q3)</f>
        <v>1</v>
      </c>
      <c r="P3" s="266" t="s">
        <v>107</v>
      </c>
      <c r="Q3" s="266">
        <f>(B4/100)^0.35</f>
        <v>0.199526231496888</v>
      </c>
    </row>
    <row r="4" spans="1:17" ht="18" customHeight="1">
      <c r="A4" s="164" t="s">
        <v>102</v>
      </c>
      <c r="B4" s="467">
        <v>1</v>
      </c>
      <c r="D4" s="2" t="s">
        <v>417</v>
      </c>
      <c r="P4" t="s">
        <v>108</v>
      </c>
      <c r="Q4">
        <f>(B5/(1-(B5/(B6))))^0.5</f>
        <v>14.142135623730951</v>
      </c>
    </row>
    <row r="5" spans="1:17" ht="18" customHeight="1">
      <c r="A5" s="164" t="s">
        <v>97</v>
      </c>
      <c r="B5" s="468">
        <v>100</v>
      </c>
      <c r="C5" s="261" t="s">
        <v>969</v>
      </c>
      <c r="D5" s="88" t="s">
        <v>104</v>
      </c>
    </row>
    <row r="6" spans="1:17" ht="18" customHeight="1" thickBot="1">
      <c r="A6" s="164" t="s">
        <v>978</v>
      </c>
      <c r="B6" s="468">
        <v>200</v>
      </c>
      <c r="C6" s="261" t="s">
        <v>969</v>
      </c>
      <c r="D6" s="88" t="s">
        <v>1104</v>
      </c>
    </row>
    <row r="7" spans="1:17" ht="18" customHeight="1" thickBot="1">
      <c r="A7" s="164" t="s">
        <v>961</v>
      </c>
      <c r="B7" s="469">
        <v>63</v>
      </c>
      <c r="C7" s="261" t="s">
        <v>969</v>
      </c>
      <c r="D7" s="88" t="s">
        <v>105</v>
      </c>
      <c r="I7" s="116" t="s">
        <v>1142</v>
      </c>
    </row>
    <row r="8" spans="1:17" ht="18" customHeight="1"/>
    <row r="9" spans="1:17" ht="18" customHeight="1">
      <c r="A9" s="265" t="s">
        <v>103</v>
      </c>
      <c r="B9" s="443">
        <f>14*B7*Q4*N3/1000</f>
        <v>12.473363620130698</v>
      </c>
      <c r="C9" s="360" t="s">
        <v>513</v>
      </c>
    </row>
    <row r="10" spans="1:17" ht="21.1">
      <c r="A10" s="361" t="s">
        <v>414</v>
      </c>
      <c r="B10" s="492">
        <v>1.1000000000000001</v>
      </c>
      <c r="C10" s="359"/>
      <c r="D10" s="287"/>
    </row>
    <row r="11" spans="1:17" ht="21.1">
      <c r="A11" s="166" t="s">
        <v>415</v>
      </c>
      <c r="B11" s="490">
        <v>1.3</v>
      </c>
      <c r="C11" s="359"/>
      <c r="D11" s="287"/>
    </row>
    <row r="12" spans="1:17" ht="21.1">
      <c r="A12" s="265" t="s">
        <v>416</v>
      </c>
      <c r="B12" s="444">
        <f>B9*B10/B11</f>
        <v>10.554384601649053</v>
      </c>
      <c r="C12" s="360" t="s">
        <v>513</v>
      </c>
    </row>
    <row r="16" spans="1:17" ht="14.3" thickBot="1"/>
    <row r="17" spans="1:8" ht="18.350000000000001">
      <c r="A17" s="362" t="s">
        <v>413</v>
      </c>
      <c r="B17" s="470">
        <v>2.2999999999999998</v>
      </c>
      <c r="C17" s="363" t="s">
        <v>513</v>
      </c>
      <c r="F17" s="358">
        <f>B17</f>
        <v>2.2999999999999998</v>
      </c>
      <c r="H17" s="1454">
        <f>B17/B12</f>
        <v>0.21791891112634271</v>
      </c>
    </row>
    <row r="18" spans="1:8" ht="18.350000000000001">
      <c r="A18" s="2" t="s">
        <v>418</v>
      </c>
      <c r="F18" s="378"/>
      <c r="H18" s="1455"/>
    </row>
    <row r="19" spans="1:8" ht="19.05" thickBot="1">
      <c r="F19" s="379">
        <f>B12</f>
        <v>10.554384601649053</v>
      </c>
      <c r="H19" s="1456"/>
    </row>
    <row r="20" spans="1:8">
      <c r="F20" s="374" t="s">
        <v>445</v>
      </c>
    </row>
    <row r="24" spans="1:8">
      <c r="A24" s="92"/>
    </row>
    <row r="26" spans="1:8">
      <c r="B26" s="93"/>
    </row>
  </sheetData>
  <mergeCells count="1">
    <mergeCell ref="H17:H19"/>
  </mergeCells>
  <phoneticPr fontId="2" type="noConversion"/>
  <hyperlinks>
    <hyperlink ref="I7" location="'M2'!A1" display="RETOUR MENU"/>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2:L28"/>
  <sheetViews>
    <sheetView workbookViewId="0">
      <selection activeCell="D13" sqref="D13"/>
    </sheetView>
  </sheetViews>
  <sheetFormatPr baseColWidth="10" defaultRowHeight="13.6"/>
  <cols>
    <col min="1" max="1" width="10.375" style="89" customWidth="1"/>
    <col min="2" max="2" width="17.375" customWidth="1"/>
    <col min="3" max="3" width="7.75" customWidth="1"/>
    <col min="4" max="4" width="41.25" customWidth="1"/>
    <col min="5" max="8" width="56.875" customWidth="1"/>
  </cols>
  <sheetData>
    <row r="2" spans="1:12" ht="25.85" thickBot="1">
      <c r="A2" s="1437" t="s">
        <v>1108</v>
      </c>
      <c r="B2" s="1438"/>
      <c r="C2" s="1439"/>
      <c r="D2" s="1439"/>
      <c r="K2" t="s">
        <v>1099</v>
      </c>
      <c r="L2">
        <f>((1.1*B7^1.5)/(B4^0.5)+(1))*B3</f>
        <v>8.1112698372208101</v>
      </c>
    </row>
    <row r="3" spans="1:12" ht="22.6" customHeight="1">
      <c r="A3" s="164" t="s">
        <v>1101</v>
      </c>
      <c r="B3" s="467">
        <v>5</v>
      </c>
      <c r="D3" s="2" t="s">
        <v>135</v>
      </c>
      <c r="K3" t="s">
        <v>1102</v>
      </c>
      <c r="L3">
        <f>((((1/B9-B9^2)^0.5)*(B8*0.8/B4))+((B9*(1-B9))^0.5))*(B4^0.5)</f>
        <v>11.090279165541725</v>
      </c>
    </row>
    <row r="4" spans="1:12" ht="25.5" customHeight="1">
      <c r="A4" s="164" t="s">
        <v>978</v>
      </c>
      <c r="B4" s="483">
        <v>200</v>
      </c>
      <c r="C4" s="261" t="s">
        <v>969</v>
      </c>
      <c r="D4" s="2" t="s">
        <v>1104</v>
      </c>
    </row>
    <row r="5" spans="1:12" ht="25.5" customHeight="1">
      <c r="A5" s="164" t="s">
        <v>97</v>
      </c>
      <c r="B5" s="483">
        <v>150</v>
      </c>
      <c r="C5" s="261" t="s">
        <v>969</v>
      </c>
      <c r="D5" s="2" t="s">
        <v>104</v>
      </c>
    </row>
    <row r="6" spans="1:12" ht="25.5" customHeight="1">
      <c r="A6" s="164" t="s">
        <v>134</v>
      </c>
      <c r="B6" s="483">
        <v>200</v>
      </c>
      <c r="C6" s="261" t="s">
        <v>969</v>
      </c>
      <c r="D6" s="2" t="s">
        <v>376</v>
      </c>
    </row>
    <row r="7" spans="1:12" ht="25.5" hidden="1" customHeight="1">
      <c r="A7" s="164" t="s">
        <v>1103</v>
      </c>
      <c r="B7" s="468">
        <f>B6/(B4-B5)</f>
        <v>4</v>
      </c>
      <c r="C7" s="261"/>
      <c r="D7" s="2" t="s">
        <v>136</v>
      </c>
    </row>
    <row r="8" spans="1:12" ht="25.5" customHeight="1">
      <c r="A8" s="286" t="s">
        <v>1105</v>
      </c>
      <c r="B8" s="468">
        <v>100</v>
      </c>
      <c r="C8" s="261" t="s">
        <v>969</v>
      </c>
      <c r="D8" s="2" t="s">
        <v>377</v>
      </c>
    </row>
    <row r="9" spans="1:12" ht="14.95" hidden="1" customHeight="1" thickBot="1">
      <c r="A9" s="166" t="s">
        <v>951</v>
      </c>
      <c r="B9" s="165">
        <f>B5/B4</f>
        <v>0.75</v>
      </c>
      <c r="D9" s="88" t="s">
        <v>1106</v>
      </c>
    </row>
    <row r="10" spans="1:12" ht="14.95" customHeight="1"/>
    <row r="11" spans="1:12" ht="18" customHeight="1">
      <c r="A11" s="90" t="s">
        <v>1107</v>
      </c>
      <c r="B11" s="91">
        <f>MIN(1,L2/L3)</f>
        <v>0.73138554189177618</v>
      </c>
    </row>
    <row r="17" spans="1:3" ht="14.3" thickBot="1"/>
    <row r="18" spans="1:3" ht="14.3" thickBot="1">
      <c r="B18" s="1417" t="s">
        <v>1142</v>
      </c>
      <c r="C18" s="1457"/>
    </row>
    <row r="19" spans="1:3" ht="14.3" thickBot="1"/>
    <row r="20" spans="1:3" ht="14.3" thickBot="1">
      <c r="B20" s="1443" t="s">
        <v>461</v>
      </c>
      <c r="C20" s="1457"/>
    </row>
    <row r="26" spans="1:3">
      <c r="A26" s="92"/>
    </row>
    <row r="28" spans="1:3">
      <c r="B28" s="93"/>
    </row>
  </sheetData>
  <sheetProtection password="CCC4" sheet="1" objects="1" scenarios="1"/>
  <mergeCells count="3">
    <mergeCell ref="A2:D2"/>
    <mergeCell ref="B18:C18"/>
    <mergeCell ref="B20:C20"/>
  </mergeCells>
  <phoneticPr fontId="2" type="noConversion"/>
  <hyperlinks>
    <hyperlink ref="B18" location="'M1'!A1" display="RETOUR MENU"/>
    <hyperlink ref="B20" location="'31'!A1" display="RETOUR CISAILLEMENT"/>
  </hyperlinks>
  <pageMargins left="0.78740157499999996" right="0.78740157499999996" top="0.984251969" bottom="0.984251969" header="0.4921259845" footer="0.4921259845"/>
  <pageSetup paperSize="9" orientation="portrait" horizontalDpi="4294967293"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2"/>
  <dimension ref="A1:BM46"/>
  <sheetViews>
    <sheetView workbookViewId="0">
      <selection activeCell="A20" sqref="A20"/>
    </sheetView>
  </sheetViews>
  <sheetFormatPr baseColWidth="10" defaultRowHeight="12.9"/>
  <cols>
    <col min="1" max="1" width="28.75" customWidth="1"/>
    <col min="2" max="2" width="10.25" style="1" customWidth="1"/>
    <col min="3" max="3" width="6.875" style="1" customWidth="1"/>
    <col min="4" max="4" width="37.75" style="1" customWidth="1"/>
    <col min="5" max="11" width="6.875" style="1" customWidth="1"/>
    <col min="12" max="12" width="9.25" style="1" customWidth="1"/>
    <col min="13" max="13" width="9.25" customWidth="1"/>
    <col min="58" max="58" width="9.875" customWidth="1"/>
    <col min="60" max="60" width="10" customWidth="1"/>
    <col min="61" max="65" width="7.75" customWidth="1"/>
    <col min="66" max="67" width="5.125" customWidth="1"/>
  </cols>
  <sheetData>
    <row r="1" spans="1:65" ht="30.1" customHeight="1" thickBot="1">
      <c r="A1" s="1458" t="s">
        <v>109</v>
      </c>
      <c r="B1" s="1438"/>
      <c r="C1" s="1459"/>
      <c r="D1" s="1459"/>
      <c r="E1" s="1459"/>
      <c r="F1" s="1459"/>
      <c r="G1" s="1459"/>
      <c r="H1" s="1459"/>
      <c r="I1" s="1459"/>
      <c r="J1" s="1459"/>
      <c r="K1" s="1460"/>
      <c r="L1" s="1460"/>
    </row>
    <row r="2" spans="1:65" ht="15.8" customHeight="1">
      <c r="A2" s="169" t="s">
        <v>116</v>
      </c>
      <c r="B2" s="484">
        <v>15</v>
      </c>
      <c r="C2" s="170" t="s">
        <v>1030</v>
      </c>
      <c r="D2" s="67" t="s">
        <v>113</v>
      </c>
      <c r="E2" s="11"/>
      <c r="F2" s="11"/>
      <c r="G2" s="11"/>
      <c r="H2" s="11"/>
      <c r="I2" s="11"/>
      <c r="J2" s="11"/>
      <c r="K2" s="11"/>
      <c r="L2" s="11"/>
      <c r="AA2" t="s">
        <v>121</v>
      </c>
      <c r="AB2">
        <f>B2/360*(6.2831854)</f>
        <v>0.26179939166666666</v>
      </c>
      <c r="BH2">
        <v>5</v>
      </c>
      <c r="BI2">
        <v>10</v>
      </c>
      <c r="BJ2">
        <v>15</v>
      </c>
      <c r="BK2">
        <v>20</v>
      </c>
      <c r="BL2">
        <v>25</v>
      </c>
      <c r="BM2">
        <v>30</v>
      </c>
    </row>
    <row r="3" spans="1:65" ht="15.8" customHeight="1">
      <c r="A3" s="268" t="s">
        <v>660</v>
      </c>
      <c r="B3" s="485">
        <v>22</v>
      </c>
      <c r="C3" s="267" t="s">
        <v>971</v>
      </c>
      <c r="D3" s="79" t="s">
        <v>664</v>
      </c>
      <c r="E3" s="87"/>
      <c r="F3" s="87"/>
      <c r="G3" s="87"/>
      <c r="H3" s="87"/>
      <c r="I3" s="87"/>
      <c r="J3" s="87"/>
      <c r="K3" s="87"/>
      <c r="L3" s="87"/>
      <c r="AA3" t="s">
        <v>122</v>
      </c>
      <c r="AB3">
        <f>TAN(AB2)</f>
        <v>0.26794919657631516</v>
      </c>
    </row>
    <row r="4" spans="1:65" ht="15.8" customHeight="1">
      <c r="A4" s="270" t="s">
        <v>661</v>
      </c>
      <c r="B4" s="486">
        <v>2.2999999999999998</v>
      </c>
      <c r="C4" s="271" t="s">
        <v>111</v>
      </c>
      <c r="D4" s="79" t="s">
        <v>665</v>
      </c>
      <c r="E4" s="87"/>
      <c r="F4" s="87"/>
      <c r="G4" s="87"/>
      <c r="H4" s="87"/>
      <c r="I4" s="87"/>
      <c r="J4" s="87"/>
      <c r="K4" s="87"/>
      <c r="L4" s="87"/>
      <c r="AA4" t="s">
        <v>123</v>
      </c>
      <c r="AB4">
        <f>AB3*AB3</f>
        <v>7.179677194589279E-2</v>
      </c>
    </row>
    <row r="5" spans="1:65" ht="15.8" customHeight="1">
      <c r="A5" s="270" t="s">
        <v>662</v>
      </c>
      <c r="B5" s="485">
        <v>1</v>
      </c>
      <c r="C5" s="271" t="s">
        <v>111</v>
      </c>
      <c r="D5" s="79" t="s">
        <v>666</v>
      </c>
      <c r="E5" s="87"/>
      <c r="F5" s="87"/>
      <c r="G5" s="87"/>
      <c r="H5" s="87"/>
      <c r="I5" s="87"/>
      <c r="J5" s="87"/>
      <c r="K5" s="87"/>
      <c r="L5" s="87"/>
      <c r="AA5" t="s">
        <v>124</v>
      </c>
      <c r="AB5">
        <f>1+((B3/(0.75*B4)*AB3)^2)</f>
        <v>12.678097079373952</v>
      </c>
    </row>
    <row r="6" spans="1:65" ht="15.8" customHeight="1" thickBot="1">
      <c r="A6" s="270" t="s">
        <v>663</v>
      </c>
      <c r="B6" s="487">
        <v>19.079999999999998</v>
      </c>
      <c r="C6" s="267" t="s">
        <v>111</v>
      </c>
      <c r="D6" s="616" t="s">
        <v>667</v>
      </c>
      <c r="E6" s="87"/>
      <c r="F6" s="87"/>
      <c r="G6" s="87"/>
      <c r="H6" s="87"/>
      <c r="I6" s="87"/>
      <c r="J6" s="87"/>
      <c r="K6" s="87"/>
      <c r="L6" s="87"/>
      <c r="AA6" t="s">
        <v>125</v>
      </c>
      <c r="AB6">
        <f>(B3/B5*AB4)^2</f>
        <v>2.4949118075356607</v>
      </c>
      <c r="BH6" s="273"/>
    </row>
    <row r="7" spans="1:65" ht="19.7">
      <c r="A7" s="272" t="s">
        <v>112</v>
      </c>
      <c r="B7" s="238">
        <f>1/((AB5+AB6)^0.5)</f>
        <v>0.25672262447643285</v>
      </c>
      <c r="C7" s="87"/>
      <c r="D7" s="79" t="s">
        <v>114</v>
      </c>
      <c r="E7" s="87"/>
      <c r="F7" s="87"/>
      <c r="G7" s="87"/>
      <c r="H7" s="87"/>
      <c r="I7" s="87"/>
      <c r="J7" s="87"/>
      <c r="K7" s="87"/>
      <c r="L7" s="87"/>
      <c r="AA7" t="s">
        <v>126</v>
      </c>
      <c r="AB7">
        <f>1+((B3/(1.5*B4)*AB3)^2)</f>
        <v>3.919524269843488</v>
      </c>
    </row>
    <row r="8" spans="1:65" ht="19.7">
      <c r="A8" s="109" t="s">
        <v>112</v>
      </c>
      <c r="B8" s="238">
        <f>1/((AB7+AB8)^0.5)</f>
        <v>0.50466591209126144</v>
      </c>
      <c r="C8" s="87"/>
      <c r="D8" s="79" t="s">
        <v>115</v>
      </c>
      <c r="E8" s="87"/>
      <c r="F8" s="87"/>
      <c r="G8" s="87"/>
      <c r="H8" s="87"/>
      <c r="I8" s="87"/>
      <c r="J8" s="87"/>
      <c r="K8" s="87"/>
      <c r="L8" s="87"/>
      <c r="AA8" t="s">
        <v>127</v>
      </c>
      <c r="AB8">
        <f>(B3/B6*AB4)^2</f>
        <v>6.8532797125192306E-3</v>
      </c>
      <c r="BF8" t="s">
        <v>1112</v>
      </c>
      <c r="BG8">
        <f>B14+(0.5*B12)</f>
        <v>29.55</v>
      </c>
    </row>
    <row r="9" spans="1:65" ht="6.8" customHeight="1">
      <c r="A9" s="11"/>
      <c r="B9" s="87"/>
      <c r="C9" s="87"/>
      <c r="D9" s="87"/>
      <c r="E9" s="87"/>
      <c r="F9" s="87"/>
      <c r="G9" s="87"/>
      <c r="H9" s="87"/>
      <c r="I9" s="87"/>
      <c r="J9" s="87"/>
      <c r="K9" s="87"/>
      <c r="L9" s="87"/>
    </row>
    <row r="10" spans="1:65" ht="6.8" customHeight="1"/>
    <row r="11" spans="1:65" ht="14.3" customHeight="1" thickBot="1">
      <c r="E11" s="281" t="s">
        <v>129</v>
      </c>
      <c r="BF11" s="101" t="s">
        <v>1113</v>
      </c>
      <c r="BG11" s="107">
        <f>IF(BG8=0,0,B12/BG8)</f>
        <v>8.4602368866328256E-2</v>
      </c>
      <c r="BH11" s="107"/>
    </row>
    <row r="12" spans="1:65" ht="18" customHeight="1">
      <c r="A12" s="169" t="s">
        <v>1130</v>
      </c>
      <c r="B12" s="484">
        <v>2.5</v>
      </c>
      <c r="C12" s="170" t="s">
        <v>1126</v>
      </c>
      <c r="D12" s="67" t="s">
        <v>117</v>
      </c>
      <c r="BF12" s="101" t="s">
        <v>1114</v>
      </c>
      <c r="BG12" s="107">
        <f>BG11^2</f>
        <v>7.1575608177942684E-3</v>
      </c>
      <c r="BH12" s="101" t="s">
        <v>1115</v>
      </c>
      <c r="BI12" s="107">
        <f>BG11^3</f>
        <v>6.0554660049020887E-4</v>
      </c>
    </row>
    <row r="13" spans="1:65" ht="18" customHeight="1">
      <c r="A13" s="269" t="s">
        <v>120</v>
      </c>
      <c r="B13" s="488">
        <v>12</v>
      </c>
      <c r="C13" s="170" t="s">
        <v>1030</v>
      </c>
      <c r="D13" s="67" t="s">
        <v>119</v>
      </c>
      <c r="BF13" s="108" t="s">
        <v>951</v>
      </c>
      <c r="BG13" s="107">
        <f>B13/360*6.283185307</f>
        <v>0.20943951023333332</v>
      </c>
      <c r="BH13" s="107">
        <f t="shared" ref="BH13:BM13" si="0">BH2/360*6.283185307</f>
        <v>8.7266462597222219E-2</v>
      </c>
      <c r="BI13" s="107">
        <f t="shared" si="0"/>
        <v>0.17453292519444444</v>
      </c>
      <c r="BJ13" s="107">
        <f t="shared" si="0"/>
        <v>0.26179938779166667</v>
      </c>
      <c r="BK13" s="107">
        <f t="shared" si="0"/>
        <v>0.34906585038888888</v>
      </c>
      <c r="BL13" s="107">
        <f t="shared" si="0"/>
        <v>0.43633231298611114</v>
      </c>
      <c r="BM13" s="107">
        <f t="shared" si="0"/>
        <v>0.52359877558333334</v>
      </c>
    </row>
    <row r="14" spans="1:65" ht="18" customHeight="1">
      <c r="A14" s="169" t="s">
        <v>1129</v>
      </c>
      <c r="B14" s="488">
        <v>28.3</v>
      </c>
      <c r="C14" s="170" t="s">
        <v>1126</v>
      </c>
      <c r="D14" s="67" t="s">
        <v>118</v>
      </c>
      <c r="BD14">
        <f>BG14+(BG15/BG11)</f>
        <v>-14.420795708302251</v>
      </c>
      <c r="BF14" s="101" t="s">
        <v>1116</v>
      </c>
      <c r="BG14" s="107">
        <f>1+(1.4*TAN(BG13))+(5.4*TAN(BG13)^2)</f>
        <v>1.5415527626234111</v>
      </c>
      <c r="BH14" s="107">
        <f t="shared" ref="BH14:BM14" si="1">1+(1.4*TAN(BH13))+(5.4*TAN(BH13)^2)</f>
        <v>1.1638171666563828</v>
      </c>
      <c r="BI14" s="107">
        <f t="shared" si="1"/>
        <v>1.4147502752539771</v>
      </c>
      <c r="BJ14" s="107">
        <f t="shared" si="1"/>
        <v>1.7628314258813855</v>
      </c>
      <c r="BK14" s="107">
        <f t="shared" si="1"/>
        <v>2.2249197176441395</v>
      </c>
      <c r="BL14" s="107">
        <f t="shared" si="1"/>
        <v>2.8270220144108729</v>
      </c>
      <c r="BM14" s="107">
        <f t="shared" si="1"/>
        <v>3.6082903767131191</v>
      </c>
    </row>
    <row r="15" spans="1:65" ht="18" customHeight="1" thickBot="1">
      <c r="A15" s="169" t="s">
        <v>1124</v>
      </c>
      <c r="B15" s="489">
        <v>4.4999999999999998E-2</v>
      </c>
      <c r="C15" s="170" t="s">
        <v>1126</v>
      </c>
      <c r="D15" s="67" t="s">
        <v>128</v>
      </c>
      <c r="F15" s="70"/>
      <c r="G15" s="70"/>
      <c r="H15" s="70"/>
      <c r="I15" s="70"/>
      <c r="J15" s="70"/>
      <c r="K15" s="70"/>
      <c r="L15" s="70"/>
      <c r="BF15" s="101" t="s">
        <v>1117</v>
      </c>
      <c r="BG15" s="107">
        <f>0.35-(8*TAN(BG13))</f>
        <v>-1.3504524933101236</v>
      </c>
      <c r="BH15" s="107">
        <f t="shared" ref="BH15:BM15" si="2">0.35-(8*TAN(BH13))</f>
        <v>-0.34990930818728527</v>
      </c>
      <c r="BI15" s="107">
        <f t="shared" si="2"/>
        <v>-1.0606158456265709</v>
      </c>
      <c r="BJ15" s="107">
        <f t="shared" si="2"/>
        <v>-1.7935935393848217</v>
      </c>
      <c r="BK15" s="107">
        <f t="shared" si="2"/>
        <v>-2.5617618740392287</v>
      </c>
      <c r="BL15" s="107">
        <f t="shared" si="2"/>
        <v>-3.3804612651185244</v>
      </c>
      <c r="BM15" s="107">
        <f t="shared" si="2"/>
        <v>-4.2688021533573739</v>
      </c>
    </row>
    <row r="16" spans="1:65" ht="18.7" customHeight="1">
      <c r="A16" s="109" t="s">
        <v>1123</v>
      </c>
      <c r="B16" s="238">
        <f>BG14+(BG15*BG11)+(BG16*BG12)+(BG17*BI12)</f>
        <v>1.4418651105062217</v>
      </c>
      <c r="BF16" s="101" t="s">
        <v>1118</v>
      </c>
      <c r="BG16" s="107">
        <f>0.6+(8.3*TAN(BG13))-(7.8*TAN(BG13)^2)</f>
        <v>2.0118131849399408</v>
      </c>
      <c r="BH16" s="107">
        <f t="shared" ref="BH16:BM16" si="3">0.6+(8.3*TAN(BH13))-(7.8*TAN(BH13)^2)</f>
        <v>1.2664526305324306</v>
      </c>
      <c r="BI16" s="107">
        <f t="shared" si="3"/>
        <v>1.8210025476707614</v>
      </c>
      <c r="BJ16" s="107">
        <f t="shared" si="3"/>
        <v>2.2639634932942481</v>
      </c>
      <c r="BK16" s="107">
        <f t="shared" si="3"/>
        <v>2.5876531592118592</v>
      </c>
      <c r="BL16" s="107">
        <f t="shared" si="3"/>
        <v>2.7742994726497248</v>
      </c>
      <c r="BM16" s="107">
        <f t="shared" si="3"/>
        <v>2.7920072342879951</v>
      </c>
    </row>
    <row r="17" spans="1:65" ht="18.7" customHeight="1">
      <c r="A17" s="110" t="s">
        <v>1125</v>
      </c>
      <c r="B17" s="239">
        <f>IF(BG21&lt;240,(0.76+0.001*BG21),1)</f>
        <v>1</v>
      </c>
      <c r="C17" s="280"/>
      <c r="E17" s="84"/>
      <c r="F17" s="84"/>
      <c r="G17" s="84"/>
      <c r="H17" s="84"/>
      <c r="I17" s="84"/>
      <c r="J17" s="84"/>
      <c r="BF17" s="101" t="s">
        <v>1119</v>
      </c>
      <c r="BG17" s="107">
        <f>(6*TAN(BG13)^2)</f>
        <v>0.27108175143793273</v>
      </c>
      <c r="BH17" s="107">
        <f t="shared" ref="BH17:BM17" si="4">(6*TAN(BH13)^2)</f>
        <v>4.59255974706754E-2</v>
      </c>
      <c r="BI17" s="107">
        <f t="shared" si="4"/>
        <v>0.18654722474369678</v>
      </c>
      <c r="BJ17" s="107">
        <f t="shared" si="4"/>
        <v>0.43078061832115755</v>
      </c>
      <c r="BK17" s="107">
        <f t="shared" si="4"/>
        <v>0.79484598854141641</v>
      </c>
      <c r="BL17" s="107">
        <f t="shared" si="4"/>
        <v>1.3046569922390345</v>
      </c>
      <c r="BM17" s="107">
        <f t="shared" si="4"/>
        <v>1.9999999998617541</v>
      </c>
    </row>
    <row r="18" spans="1:65" ht="18.7" customHeight="1">
      <c r="A18" s="110" t="s">
        <v>1128</v>
      </c>
      <c r="B18" s="239">
        <f>BG18+(BG19*BG11)+(BG20*BG12)</f>
        <v>4.8527245810634431E-2</v>
      </c>
      <c r="D18" s="275" t="s">
        <v>131</v>
      </c>
      <c r="BF18" s="101" t="s">
        <v>1120</v>
      </c>
      <c r="BG18" s="107">
        <f>(0.2*TAN(BG13))</f>
        <v>4.2511312332753091E-2</v>
      </c>
      <c r="BH18" s="107">
        <f t="shared" ref="BH18:BM18" si="5">(0.2*TAN(BH13))</f>
        <v>1.7497732704682131E-2</v>
      </c>
      <c r="BI18" s="107">
        <f t="shared" si="5"/>
        <v>3.5265396140664276E-2</v>
      </c>
      <c r="BJ18" s="107">
        <f t="shared" si="5"/>
        <v>5.3589838484620546E-2</v>
      </c>
      <c r="BK18" s="107">
        <f t="shared" si="5"/>
        <v>7.2794046850980718E-2</v>
      </c>
      <c r="BL18" s="107">
        <f t="shared" si="5"/>
        <v>9.3261531627963121E-2</v>
      </c>
      <c r="BM18" s="107">
        <f t="shared" si="5"/>
        <v>0.11547005383393434</v>
      </c>
    </row>
    <row r="19" spans="1:65" ht="13.6" thickBot="1">
      <c r="A19" s="111"/>
      <c r="C19" s="70"/>
      <c r="BF19" s="101" t="s">
        <v>1121</v>
      </c>
      <c r="BG19" s="107">
        <f>0.25-(1.5*TAN(BG13))+(2.6*TAN(BG13)^2)</f>
        <v>4.8633916460789378E-2</v>
      </c>
      <c r="BH19" s="107">
        <f t="shared" ref="BH19:BM19" si="6">0.25-(1.5*TAN(BH13))+(2.6*TAN(BH13)^2)</f>
        <v>0.13866809695217669</v>
      </c>
      <c r="BI19" s="107">
        <f t="shared" si="6"/>
        <v>6.6346659667286589E-2</v>
      </c>
      <c r="BJ19" s="107">
        <f t="shared" si="6"/>
        <v>3.4747812637847569E-2</v>
      </c>
      <c r="BK19" s="107">
        <f t="shared" si="6"/>
        <v>4.8477910318925066E-2</v>
      </c>
      <c r="BL19" s="107">
        <f t="shared" si="6"/>
        <v>0.11588987609385837</v>
      </c>
      <c r="BM19" s="107">
        <f t="shared" si="6"/>
        <v>0.25064126285225263</v>
      </c>
    </row>
    <row r="20" spans="1:65" ht="13.6" thickBot="1">
      <c r="A20" s="116" t="s">
        <v>1142</v>
      </c>
      <c r="E20" s="1461" t="s">
        <v>1084</v>
      </c>
      <c r="F20" s="1462"/>
      <c r="G20" s="176"/>
      <c r="BF20" s="101" t="s">
        <v>1122</v>
      </c>
      <c r="BG20" s="107">
        <f>(2.1*TAN(BG13))-(4*TAN(BG13)^2)</f>
        <v>0.26564761186861896</v>
      </c>
      <c r="BH20" s="107">
        <f t="shared" ref="BH20:BM20" si="7">(2.1*TAN(BH13))-(4*TAN(BH13)^2)</f>
        <v>0.1531091284187121</v>
      </c>
      <c r="BI20" s="107">
        <f t="shared" si="7"/>
        <v>0.245921842981177</v>
      </c>
      <c r="BJ20" s="107">
        <f t="shared" si="7"/>
        <v>0.27550622520774398</v>
      </c>
      <c r="BK20" s="107">
        <f t="shared" si="7"/>
        <v>0.23444016624101993</v>
      </c>
      <c r="BL20" s="107">
        <f t="shared" si="7"/>
        <v>0.10947475393425632</v>
      </c>
      <c r="BM20" s="107">
        <f t="shared" si="7"/>
        <v>-0.12089776798485885</v>
      </c>
    </row>
    <row r="21" spans="1:65" ht="13.6" thickBot="1">
      <c r="E21" s="1463" t="s">
        <v>1085</v>
      </c>
      <c r="F21" s="1270"/>
      <c r="G21" s="9"/>
      <c r="BF21" s="101" t="s">
        <v>1127</v>
      </c>
      <c r="BG21" s="112">
        <f>$B$14/$B$15</f>
        <v>628.88888888888891</v>
      </c>
      <c r="BH21" s="112">
        <f t="shared" ref="BH21:BM21" si="8">$B$14/$B$15</f>
        <v>628.88888888888891</v>
      </c>
      <c r="BI21" s="112">
        <f t="shared" si="8"/>
        <v>628.88888888888891</v>
      </c>
      <c r="BJ21" s="112">
        <f t="shared" si="8"/>
        <v>628.88888888888891</v>
      </c>
      <c r="BK21" s="112">
        <f t="shared" si="8"/>
        <v>628.88888888888891</v>
      </c>
      <c r="BL21" s="112">
        <f t="shared" si="8"/>
        <v>628.88888888888891</v>
      </c>
      <c r="BM21" s="112">
        <f t="shared" si="8"/>
        <v>628.88888888888891</v>
      </c>
    </row>
    <row r="22" spans="1:65" ht="13.6" thickBot="1">
      <c r="A22" s="455" t="s">
        <v>521</v>
      </c>
      <c r="BF22" s="101"/>
    </row>
    <row r="23" spans="1:65" ht="14.3" thickBot="1">
      <c r="A23" s="456" t="s">
        <v>522</v>
      </c>
      <c r="BD23" s="15">
        <v>0</v>
      </c>
      <c r="BG23" s="113">
        <f>BG$14+BG$15*$BD23+BG$16*$BD23^2+BG$17*$BD23^3</f>
        <v>1.5415527626234111</v>
      </c>
      <c r="BH23" s="113">
        <f t="shared" ref="BH23:BM23" si="9">BH$14+BH$15*$BD23+BH$16*$BD23^2+BH$17*$BD23^3</f>
        <v>1.1638171666563828</v>
      </c>
      <c r="BI23" s="113">
        <f t="shared" si="9"/>
        <v>1.4147502752539771</v>
      </c>
      <c r="BJ23" s="113">
        <f t="shared" si="9"/>
        <v>1.7628314258813855</v>
      </c>
      <c r="BK23" s="113">
        <f t="shared" si="9"/>
        <v>2.2249197176441395</v>
      </c>
      <c r="BL23" s="113">
        <f t="shared" si="9"/>
        <v>2.8270220144108729</v>
      </c>
      <c r="BM23" s="113">
        <f t="shared" si="9"/>
        <v>3.6082903767131191</v>
      </c>
    </row>
    <row r="24" spans="1:65" ht="13.6">
      <c r="BD24" s="15">
        <f t="shared" ref="BD24:BD33" si="10">BD23+0.05</f>
        <v>0.05</v>
      </c>
      <c r="BG24" s="113">
        <f t="shared" ref="BG24:BM33" si="11">BG$14+BG$15*$BD24+BG$16*$BD24^2+BG$17*$BD24^3</f>
        <v>1.4790935561391845</v>
      </c>
      <c r="BH24" s="113">
        <f t="shared" si="11"/>
        <v>1.1494935735230336</v>
      </c>
      <c r="BI24" s="113">
        <f t="shared" si="11"/>
        <v>1.3662953077449185</v>
      </c>
      <c r="BJ24" s="113">
        <f t="shared" si="11"/>
        <v>1.6788655052226702</v>
      </c>
      <c r="BK24" s="113">
        <f t="shared" si="11"/>
        <v>2.1034001125887754</v>
      </c>
      <c r="BL24" s="113">
        <f t="shared" si="11"/>
        <v>2.6650977819606005</v>
      </c>
      <c r="BM24" s="113">
        <f t="shared" si="11"/>
        <v>3.402080287130953</v>
      </c>
    </row>
    <row r="25" spans="1:65" ht="13.6">
      <c r="C25"/>
      <c r="BD25" s="15">
        <f t="shared" si="10"/>
        <v>0.1</v>
      </c>
      <c r="BG25" s="113">
        <f t="shared" si="11"/>
        <v>1.4268967268932362</v>
      </c>
      <c r="BH25" s="113">
        <f t="shared" si="11"/>
        <v>1.1415366877404491</v>
      </c>
      <c r="BI25" s="113">
        <f t="shared" si="11"/>
        <v>1.3270852633927714</v>
      </c>
      <c r="BJ25" s="113">
        <f t="shared" si="11"/>
        <v>1.6065424874941672</v>
      </c>
      <c r="BK25" s="113">
        <f t="shared" si="11"/>
        <v>1.9954149078208765</v>
      </c>
      <c r="BL25" s="113">
        <f t="shared" si="11"/>
        <v>2.5180235396177566</v>
      </c>
      <c r="BM25" s="113">
        <f t="shared" si="11"/>
        <v>3.2113302337201235</v>
      </c>
    </row>
    <row r="26" spans="1:65" ht="13.6">
      <c r="BD26" s="15">
        <f t="shared" si="10"/>
        <v>0.15000000000000002</v>
      </c>
      <c r="BG26" s="113">
        <f t="shared" si="11"/>
        <v>1.3851655861991443</v>
      </c>
      <c r="BH26" s="113">
        <f t="shared" si="11"/>
        <v>1.1399809535067331</v>
      </c>
      <c r="BI26" s="113">
        <f t="shared" si="11"/>
        <v>1.2972600526160936</v>
      </c>
      <c r="BJ26" s="113">
        <f t="shared" si="11"/>
        <v>1.5461854581596168</v>
      </c>
      <c r="BK26" s="113">
        <f t="shared" si="11"/>
        <v>1.9015602378318495</v>
      </c>
      <c r="BL26" s="113">
        <f t="shared" si="11"/>
        <v>2.3867777801265198</v>
      </c>
      <c r="BM26" s="113">
        <f t="shared" si="11"/>
        <v>3.0375402164805263</v>
      </c>
    </row>
    <row r="27" spans="1:65" ht="13.6">
      <c r="BD27" s="15">
        <f t="shared" si="10"/>
        <v>0.2</v>
      </c>
      <c r="BG27" s="113">
        <f t="shared" si="11"/>
        <v>1.3541034453704877</v>
      </c>
      <c r="BH27" s="113">
        <f t="shared" si="11"/>
        <v>1.1448608150199886</v>
      </c>
      <c r="BI27" s="113">
        <f t="shared" si="11"/>
        <v>1.276959585833443</v>
      </c>
      <c r="BJ27" s="113">
        <f t="shared" si="11"/>
        <v>1.4981175026827604</v>
      </c>
      <c r="BK27" s="113">
        <f t="shared" si="11"/>
        <v>1.8224322371130994</v>
      </c>
      <c r="BL27" s="113">
        <f t="shared" si="11"/>
        <v>2.2723389962310692</v>
      </c>
      <c r="BM27" s="113">
        <f t="shared" si="11"/>
        <v>2.8822102354120585</v>
      </c>
    </row>
    <row r="28" spans="1:65" ht="13.6">
      <c r="BD28" s="15">
        <f t="shared" si="10"/>
        <v>0.25</v>
      </c>
      <c r="BG28" s="113">
        <f t="shared" si="11"/>
        <v>1.3339136157208442</v>
      </c>
      <c r="BH28" s="113">
        <f t="shared" si="11"/>
        <v>1.1562107164783175</v>
      </c>
      <c r="BI28" s="113">
        <f t="shared" si="11"/>
        <v>1.2663237734633772</v>
      </c>
      <c r="BJ28" s="113">
        <f t="shared" si="11"/>
        <v>1.4626617065273386</v>
      </c>
      <c r="BK28" s="113">
        <f t="shared" si="11"/>
        <v>1.7586270401560331</v>
      </c>
      <c r="BL28" s="113">
        <f t="shared" si="11"/>
        <v>2.1756856806755844</v>
      </c>
      <c r="BM28" s="113">
        <f t="shared" si="11"/>
        <v>2.7468402905146152</v>
      </c>
    </row>
    <row r="29" spans="1:65" ht="13.6">
      <c r="BD29" s="15">
        <f t="shared" si="10"/>
        <v>0.3</v>
      </c>
      <c r="BG29" s="113">
        <f t="shared" si="11"/>
        <v>1.3247994085637929</v>
      </c>
      <c r="BH29" s="113">
        <f t="shared" si="11"/>
        <v>1.1740651020798243</v>
      </c>
      <c r="BI29" s="113">
        <f t="shared" si="11"/>
        <v>1.2654925259244543</v>
      </c>
      <c r="BJ29" s="113">
        <f t="shared" si="11"/>
        <v>1.4401411551570924</v>
      </c>
      <c r="BK29" s="113">
        <f t="shared" si="11"/>
        <v>1.7107407814520565</v>
      </c>
      <c r="BL29" s="113">
        <f t="shared" si="11"/>
        <v>2.0977963262042447</v>
      </c>
      <c r="BM29" s="113">
        <f t="shared" si="11"/>
        <v>2.6329303817880936</v>
      </c>
    </row>
    <row r="30" spans="1:65" ht="13.6">
      <c r="BD30" s="15">
        <f t="shared" si="10"/>
        <v>0.35</v>
      </c>
      <c r="BG30" s="113">
        <f t="shared" si="11"/>
        <v>1.326964135212912</v>
      </c>
      <c r="BH30" s="113">
        <f t="shared" si="11"/>
        <v>1.1984584160226108</v>
      </c>
      <c r="BI30" s="113">
        <f t="shared" si="11"/>
        <v>1.2746057536352315</v>
      </c>
      <c r="BJ30" s="113">
        <f t="shared" si="11"/>
        <v>1.4308789340357631</v>
      </c>
      <c r="BK30" s="113">
        <f t="shared" si="11"/>
        <v>1.6793695954925756</v>
      </c>
      <c r="BL30" s="113">
        <f t="shared" si="11"/>
        <v>2.0396494255612292</v>
      </c>
      <c r="BM30" s="113">
        <f t="shared" si="11"/>
        <v>2.5419805092323906</v>
      </c>
    </row>
    <row r="31" spans="1:65" ht="13.6">
      <c r="BD31" s="15">
        <f t="shared" si="10"/>
        <v>0.39999999999999997</v>
      </c>
      <c r="BG31" s="113">
        <v>1.23</v>
      </c>
      <c r="BH31" s="113">
        <f t="shared" si="11"/>
        <v>1.2294251025047809</v>
      </c>
      <c r="BI31" s="113">
        <f t="shared" si="11"/>
        <v>1.2938033670142672</v>
      </c>
      <c r="BJ31" s="113">
        <f t="shared" si="11"/>
        <v>1.4351981286270907</v>
      </c>
      <c r="BK31" s="113">
        <f t="shared" si="11"/>
        <v>1.6651096167689963</v>
      </c>
      <c r="BL31" s="113">
        <f t="shared" si="11"/>
        <v>2.0022234714907174</v>
      </c>
      <c r="BM31" s="113">
        <f t="shared" si="11"/>
        <v>2.4754906728474011</v>
      </c>
    </row>
    <row r="32" spans="1:65" ht="13.6">
      <c r="BD32" s="15">
        <f t="shared" si="10"/>
        <v>0.44999999999999996</v>
      </c>
      <c r="BG32" s="113">
        <v>1.27</v>
      </c>
      <c r="BH32" s="113">
        <f t="shared" si="11"/>
        <v>1.2669996057244368</v>
      </c>
      <c r="BI32" s="113">
        <f t="shared" si="11"/>
        <v>1.3232252764801187</v>
      </c>
      <c r="BJ32" s="113">
        <f t="shared" si="11"/>
        <v>1.4534218243948165</v>
      </c>
      <c r="BK32" s="113">
        <f t="shared" si="11"/>
        <v>1.6685569797727247</v>
      </c>
      <c r="BL32" s="113">
        <f t="shared" si="11"/>
        <v>1.9864969567368882</v>
      </c>
      <c r="BM32" s="113">
        <f t="shared" si="11"/>
        <v>2.4349608726330225</v>
      </c>
    </row>
    <row r="33" spans="56:65" ht="13.6">
      <c r="BD33" s="15">
        <f t="shared" si="10"/>
        <v>0.49999999999999994</v>
      </c>
      <c r="BG33" s="113">
        <v>1.31</v>
      </c>
      <c r="BH33" s="113">
        <f t="shared" si="11"/>
        <v>1.3112163698796822</v>
      </c>
      <c r="BI33" s="113">
        <f t="shared" si="11"/>
        <v>1.3630113924513441</v>
      </c>
      <c r="BJ33" s="113">
        <f t="shared" si="11"/>
        <v>1.4858731068026816</v>
      </c>
      <c r="BK33" s="113">
        <f t="shared" si="11"/>
        <v>1.6903078189951672</v>
      </c>
      <c r="BL33" s="113">
        <f t="shared" si="11"/>
        <v>1.9934483740439213</v>
      </c>
      <c r="BM33" s="113">
        <f t="shared" si="11"/>
        <v>2.4218911085891506</v>
      </c>
    </row>
    <row r="36" spans="56:65" ht="13.6">
      <c r="BD36" s="15">
        <v>0</v>
      </c>
      <c r="BG36" s="113">
        <f>BG$18+BG$19*$BD36+BG$20*$BD36^2</f>
        <v>4.2511312332753091E-2</v>
      </c>
      <c r="BH36" s="114">
        <f t="shared" ref="BH36:BM36" si="12">BH$18+BH$19*$BD36+BH$20*$BD36^2</f>
        <v>1.7497732704682131E-2</v>
      </c>
      <c r="BI36" s="115">
        <f t="shared" si="12"/>
        <v>3.5265396140664276E-2</v>
      </c>
      <c r="BJ36" s="115">
        <f t="shared" si="12"/>
        <v>5.3589838484620546E-2</v>
      </c>
      <c r="BK36" s="115">
        <f t="shared" si="12"/>
        <v>7.2794046850980718E-2</v>
      </c>
      <c r="BL36" s="115">
        <f t="shared" si="12"/>
        <v>9.3261531627963121E-2</v>
      </c>
      <c r="BM36" s="115">
        <f t="shared" si="12"/>
        <v>0.11547005383393434</v>
      </c>
    </row>
    <row r="37" spans="56:65" ht="13.6">
      <c r="BD37" s="15">
        <f t="shared" ref="BD37:BD46" si="13">BD36+0.05</f>
        <v>0.05</v>
      </c>
      <c r="BG37" s="113">
        <f t="shared" ref="BG37:BM46" si="14">BG$18+BG$19*$BD37+BG$20*$BD37^2</f>
        <v>4.5607127185464107E-2</v>
      </c>
      <c r="BH37" s="114">
        <f t="shared" si="14"/>
        <v>2.4813910373337744E-2</v>
      </c>
      <c r="BI37" s="115">
        <f t="shared" si="14"/>
        <v>3.9197533731481549E-2</v>
      </c>
      <c r="BJ37" s="115">
        <f t="shared" si="14"/>
        <v>5.6015994679532284E-2</v>
      </c>
      <c r="BK37" s="115">
        <f t="shared" si="14"/>
        <v>7.5804042782529515E-2</v>
      </c>
      <c r="BL37" s="115">
        <f t="shared" si="14"/>
        <v>9.9329712317491686E-2</v>
      </c>
      <c r="BM37" s="115">
        <f t="shared" si="14"/>
        <v>0.12769987255658483</v>
      </c>
    </row>
    <row r="38" spans="56:65" ht="13.6">
      <c r="BD38" s="15">
        <f t="shared" si="13"/>
        <v>0.1</v>
      </c>
      <c r="BG38" s="113">
        <f t="shared" si="14"/>
        <v>5.0031180097518224E-2</v>
      </c>
      <c r="BH38" s="114">
        <f t="shared" si="14"/>
        <v>3.2895633684086927E-2</v>
      </c>
      <c r="BI38" s="115">
        <f t="shared" si="14"/>
        <v>4.4359280537204705E-2</v>
      </c>
      <c r="BJ38" s="115">
        <f t="shared" si="14"/>
        <v>5.9819682000482738E-2</v>
      </c>
      <c r="BK38" s="115">
        <f t="shared" si="14"/>
        <v>7.998623954528343E-2</v>
      </c>
      <c r="BL38" s="115">
        <f t="shared" si="14"/>
        <v>0.10594526677669153</v>
      </c>
      <c r="BM38" s="115">
        <f t="shared" si="14"/>
        <v>0.13932520243931101</v>
      </c>
    </row>
    <row r="39" spans="56:65" ht="13.6">
      <c r="BD39" s="15">
        <f t="shared" si="13"/>
        <v>0.15000000000000002</v>
      </c>
      <c r="BG39" s="113">
        <f t="shared" si="14"/>
        <v>5.578347106891543E-2</v>
      </c>
      <c r="BH39" s="114">
        <f t="shared" si="14"/>
        <v>4.174290263692966E-2</v>
      </c>
      <c r="BI39" s="115">
        <f t="shared" si="14"/>
        <v>5.0750636557833753E-2</v>
      </c>
      <c r="BJ39" s="115">
        <f t="shared" si="14"/>
        <v>6.5000900447471921E-2</v>
      </c>
      <c r="BK39" s="115">
        <f t="shared" si="14"/>
        <v>8.534063713924242E-2</v>
      </c>
      <c r="BL39" s="115">
        <f t="shared" si="14"/>
        <v>0.11310819500556266</v>
      </c>
      <c r="BM39" s="115">
        <f t="shared" si="14"/>
        <v>0.15034604348211292</v>
      </c>
    </row>
    <row r="40" spans="56:65" ht="13.6">
      <c r="BD40" s="15">
        <f t="shared" si="13"/>
        <v>0.2</v>
      </c>
      <c r="BG40" s="113">
        <f t="shared" si="14"/>
        <v>6.2864000099655731E-2</v>
      </c>
      <c r="BH40" s="114">
        <f t="shared" si="14"/>
        <v>5.1355717231865959E-2</v>
      </c>
      <c r="BI40" s="115">
        <f t="shared" si="14"/>
        <v>5.8371601793368678E-2</v>
      </c>
      <c r="BJ40" s="115">
        <f t="shared" si="14"/>
        <v>7.1559650020499826E-2</v>
      </c>
      <c r="BK40" s="115">
        <f t="shared" si="14"/>
        <v>9.1867235564406527E-2</v>
      </c>
      <c r="BL40" s="115">
        <f t="shared" si="14"/>
        <v>0.12081849700410505</v>
      </c>
      <c r="BM40" s="115">
        <f t="shared" si="14"/>
        <v>0.16076239568499054</v>
      </c>
    </row>
    <row r="41" spans="56:65" ht="13.6">
      <c r="BD41" s="15">
        <f t="shared" si="13"/>
        <v>0.25</v>
      </c>
      <c r="BG41" s="113">
        <v>6.1699999999999998E-2</v>
      </c>
      <c r="BH41" s="114">
        <f t="shared" si="14"/>
        <v>6.1734077468895809E-2</v>
      </c>
      <c r="BI41" s="115">
        <f t="shared" si="14"/>
        <v>6.7222176243809481E-2</v>
      </c>
      <c r="BJ41" s="115">
        <f t="shared" si="14"/>
        <v>7.9495930719566441E-2</v>
      </c>
      <c r="BK41" s="115">
        <f t="shared" si="14"/>
        <v>9.9566034820775723E-2</v>
      </c>
      <c r="BL41" s="115">
        <f t="shared" si="14"/>
        <v>0.12907617277231873</v>
      </c>
      <c r="BM41" s="115">
        <f t="shared" si="14"/>
        <v>0.17057425904794382</v>
      </c>
    </row>
    <row r="42" spans="56:65" ht="13.6">
      <c r="BD42" s="15">
        <f t="shared" si="13"/>
        <v>0.3</v>
      </c>
      <c r="BG42" s="113">
        <v>7.2900000000000006E-2</v>
      </c>
      <c r="BH42" s="114">
        <f t="shared" si="14"/>
        <v>7.2877983348019232E-2</v>
      </c>
      <c r="BI42" s="115">
        <f t="shared" si="14"/>
        <v>7.7302359909156182E-2</v>
      </c>
      <c r="BJ42" s="115">
        <f t="shared" si="14"/>
        <v>8.8809742544671777E-2</v>
      </c>
      <c r="BK42" s="115">
        <f t="shared" si="14"/>
        <v>0.10843703490835002</v>
      </c>
      <c r="BL42" s="115">
        <f t="shared" si="14"/>
        <v>0.13788122231020369</v>
      </c>
      <c r="BM42" s="115">
        <f t="shared" si="14"/>
        <v>0.17978163357097285</v>
      </c>
    </row>
    <row r="43" spans="56:65" ht="13.6">
      <c r="BD43" s="15">
        <f t="shared" si="13"/>
        <v>0.35</v>
      </c>
      <c r="BG43" s="113">
        <v>8.48E-2</v>
      </c>
      <c r="BH43" s="114">
        <f t="shared" si="14"/>
        <v>8.4787434869236206E-2</v>
      </c>
      <c r="BI43" s="115">
        <f t="shared" si="14"/>
        <v>8.861215278940876E-2</v>
      </c>
      <c r="BJ43" s="115">
        <f t="shared" si="14"/>
        <v>9.9501085495815822E-2</v>
      </c>
      <c r="BK43" s="115">
        <f t="shared" si="14"/>
        <v>0.11848023582712942</v>
      </c>
      <c r="BL43" s="115">
        <f t="shared" si="14"/>
        <v>0.14723364561775995</v>
      </c>
      <c r="BM43" s="115">
        <f t="shared" si="14"/>
        <v>0.18838451925407756</v>
      </c>
    </row>
    <row r="44" spans="56:65" ht="13.6">
      <c r="BD44" s="15">
        <f t="shared" si="13"/>
        <v>0.39999999999999997</v>
      </c>
      <c r="BG44" s="113">
        <v>9.7500000000000003E-2</v>
      </c>
      <c r="BH44" s="114">
        <f t="shared" si="14"/>
        <v>9.7462432032546731E-2</v>
      </c>
      <c r="BI44" s="115">
        <f t="shared" si="14"/>
        <v>0.10115155488456723</v>
      </c>
      <c r="BJ44" s="115">
        <f t="shared" si="14"/>
        <v>0.1115699595729986</v>
      </c>
      <c r="BK44" s="115">
        <f t="shared" si="14"/>
        <v>0.12969563757711394</v>
      </c>
      <c r="BL44" s="115">
        <f t="shared" si="14"/>
        <v>0.15713344269498747</v>
      </c>
      <c r="BM44" s="115">
        <f t="shared" si="14"/>
        <v>0.19638291609725797</v>
      </c>
    </row>
    <row r="45" spans="56:65" ht="13.6">
      <c r="BD45" s="15">
        <f t="shared" si="13"/>
        <v>0.44999999999999996</v>
      </c>
      <c r="BG45" s="113">
        <v>0.11090999999999999</v>
      </c>
      <c r="BH45" s="114">
        <f t="shared" si="14"/>
        <v>0.11090297483795082</v>
      </c>
      <c r="BI45" s="115">
        <f t="shared" si="14"/>
        <v>0.11492056619463158</v>
      </c>
      <c r="BJ45" s="115">
        <f t="shared" si="14"/>
        <v>0.12501636477622008</v>
      </c>
      <c r="BK45" s="115">
        <f t="shared" si="14"/>
        <v>0.14208324015830354</v>
      </c>
      <c r="BL45" s="115">
        <f t="shared" si="14"/>
        <v>0.16758061354188628</v>
      </c>
      <c r="BM45" s="115">
        <f t="shared" si="14"/>
        <v>0.20377682410051412</v>
      </c>
    </row>
    <row r="46" spans="56:65" ht="13.6">
      <c r="BD46" s="15">
        <f t="shared" si="13"/>
        <v>0.49999999999999994</v>
      </c>
      <c r="BG46" s="113">
        <v>0.12509999999999999</v>
      </c>
      <c r="BH46" s="114">
        <f t="shared" si="14"/>
        <v>0.12510906328544849</v>
      </c>
      <c r="BI46" s="115">
        <f t="shared" si="14"/>
        <v>0.12991918671960179</v>
      </c>
      <c r="BJ46" s="115">
        <f t="shared" si="14"/>
        <v>0.13984030110548029</v>
      </c>
      <c r="BK46" s="115">
        <f t="shared" si="14"/>
        <v>0.15564304357069822</v>
      </c>
      <c r="BL46" s="115">
        <f t="shared" si="14"/>
        <v>0.17857515815845637</v>
      </c>
      <c r="BM46" s="115">
        <f t="shared" si="14"/>
        <v>0.21056624326384593</v>
      </c>
    </row>
  </sheetData>
  <sheetProtection password="CCC4" sheet="1" objects="1" scenarios="1"/>
  <mergeCells count="3">
    <mergeCell ref="A1:L1"/>
    <mergeCell ref="E20:F20"/>
    <mergeCell ref="E21:F21"/>
  </mergeCells>
  <phoneticPr fontId="2" type="noConversion"/>
  <hyperlinks>
    <hyperlink ref="A20" location="'M1'!A1" display="RETOUR MENU"/>
    <hyperlink ref="A22" location="'37'!A1" display="RETOUR POUTRES IV 1 PENTE"/>
    <hyperlink ref="A23" location="'M1'!A1" display="RETOUR MENU"/>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oleObjects>
    <mc:AlternateContent xmlns:mc="http://schemas.openxmlformats.org/markup-compatibility/2006">
      <mc:Choice Requires="x14">
        <oleObject progId="PhotoDeluxe.Image.2" shapeId="11282" r:id="rId4">
          <objectPr defaultSize="0" autoPict="0" r:id="rId5">
            <anchor moveWithCells="1" sizeWithCells="1">
              <from>
                <xdr:col>6</xdr:col>
                <xdr:colOff>224287</xdr:colOff>
                <xdr:row>4</xdr:row>
                <xdr:rowOff>103517</xdr:rowOff>
              </from>
              <to>
                <xdr:col>11</xdr:col>
                <xdr:colOff>336430</xdr:colOff>
                <xdr:row>7</xdr:row>
                <xdr:rowOff>34506</xdr:rowOff>
              </to>
            </anchor>
          </objectPr>
        </oleObject>
      </mc:Choice>
      <mc:Fallback>
        <oleObject progId="PhotoDeluxe.Image.2" shapeId="11282" r:id="rId4"/>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dimension ref="A1:AE37"/>
  <sheetViews>
    <sheetView workbookViewId="0">
      <selection sqref="A1:E13"/>
    </sheetView>
  </sheetViews>
  <sheetFormatPr baseColWidth="10" defaultRowHeight="12.9"/>
  <cols>
    <col min="1" max="1" width="15.375" customWidth="1"/>
    <col min="2" max="2" width="13" customWidth="1"/>
    <col min="3" max="3" width="15.625" customWidth="1"/>
    <col min="4" max="4" width="15" customWidth="1"/>
    <col min="5" max="5" width="10.125" customWidth="1"/>
    <col min="6" max="6" width="14.125" customWidth="1"/>
    <col min="7" max="7" width="15.25" customWidth="1"/>
    <col min="25" max="25" width="12.375" bestFit="1" customWidth="1"/>
  </cols>
  <sheetData>
    <row r="1" spans="1:31" ht="19.55" customHeight="1">
      <c r="A1" s="1464" t="s">
        <v>581</v>
      </c>
      <c r="B1" s="1465"/>
      <c r="C1" s="1465"/>
      <c r="D1" s="1465"/>
      <c r="E1" s="1466"/>
    </row>
    <row r="2" spans="1:31" ht="21.75" customHeight="1" thickBot="1">
      <c r="A2" s="1478" t="s">
        <v>577</v>
      </c>
      <c r="B2" s="1479"/>
      <c r="C2" s="531"/>
      <c r="D2" s="531"/>
      <c r="E2" s="531"/>
    </row>
    <row r="3" spans="1:31" ht="12.75" customHeight="1">
      <c r="A3" s="1480" t="s">
        <v>578</v>
      </c>
      <c r="B3" s="1481"/>
      <c r="C3" s="1474">
        <v>20</v>
      </c>
      <c r="D3" s="1392"/>
      <c r="E3" s="134" t="s">
        <v>969</v>
      </c>
      <c r="AA3" s="44" t="s">
        <v>1029</v>
      </c>
      <c r="AB3" s="133"/>
      <c r="AC3" s="1474">
        <f>C3</f>
        <v>20</v>
      </c>
      <c r="AD3" s="1392"/>
      <c r="AE3" s="134" t="s">
        <v>969</v>
      </c>
    </row>
    <row r="4" spans="1:31" ht="13.6">
      <c r="A4" s="534" t="s">
        <v>580</v>
      </c>
      <c r="B4" s="535"/>
      <c r="C4" s="532" t="s">
        <v>572</v>
      </c>
      <c r="D4" s="526" t="s">
        <v>573</v>
      </c>
      <c r="AC4" s="525" t="s">
        <v>572</v>
      </c>
      <c r="AD4" s="526" t="s">
        <v>573</v>
      </c>
    </row>
    <row r="5" spans="1:31" ht="14.95" thickBot="1">
      <c r="A5" s="1482" t="s">
        <v>579</v>
      </c>
      <c r="B5" s="1483"/>
      <c r="C5" s="533">
        <v>0</v>
      </c>
      <c r="D5" s="156">
        <v>90</v>
      </c>
      <c r="E5" s="254" t="s">
        <v>1030</v>
      </c>
      <c r="AA5" s="1475" t="s">
        <v>574</v>
      </c>
      <c r="AB5" s="1476"/>
      <c r="AC5" s="156">
        <f>C5</f>
        <v>0</v>
      </c>
      <c r="AD5" s="156">
        <f>D5</f>
        <v>90</v>
      </c>
      <c r="AE5" s="254" t="s">
        <v>1030</v>
      </c>
    </row>
    <row r="6" spans="1:31" ht="12.75" customHeight="1">
      <c r="A6" s="249" t="s">
        <v>1031</v>
      </c>
      <c r="B6" s="250"/>
      <c r="C6" s="246">
        <f t="shared" ref="C6:D13" si="0">IF($Y$17=1,AC6,AC19)</f>
        <v>100</v>
      </c>
      <c r="D6" s="246">
        <f t="shared" si="0"/>
        <v>80</v>
      </c>
      <c r="E6" s="251" t="s">
        <v>969</v>
      </c>
      <c r="AA6" s="249" t="s">
        <v>1031</v>
      </c>
      <c r="AB6" s="250"/>
      <c r="AC6" s="246">
        <f>(4+COS(W7))*AC3</f>
        <v>100</v>
      </c>
      <c r="AD6" s="246">
        <f>(4+COS(X7))*AC3</f>
        <v>80</v>
      </c>
      <c r="AE6" s="251" t="s">
        <v>969</v>
      </c>
    </row>
    <row r="7" spans="1:31" ht="12.75" customHeight="1">
      <c r="A7" s="244" t="s">
        <v>1032</v>
      </c>
      <c r="B7" s="46"/>
      <c r="C7" s="246">
        <f t="shared" si="0"/>
        <v>80</v>
      </c>
      <c r="D7" s="246">
        <f t="shared" si="0"/>
        <v>80</v>
      </c>
      <c r="E7" s="21" t="s">
        <v>969</v>
      </c>
      <c r="V7" t="s">
        <v>1033</v>
      </c>
      <c r="W7">
        <f>C5/360*2*PI()</f>
        <v>0</v>
      </c>
      <c r="X7">
        <f>D5/360*2*PI()</f>
        <v>1.5707963267948966</v>
      </c>
      <c r="AA7" s="244" t="s">
        <v>1032</v>
      </c>
      <c r="AB7" s="46"/>
      <c r="AC7" s="247">
        <f>AC3*4</f>
        <v>80</v>
      </c>
      <c r="AD7" s="247">
        <f>AC3*4</f>
        <v>80</v>
      </c>
      <c r="AE7" s="21" t="s">
        <v>969</v>
      </c>
    </row>
    <row r="8" spans="1:31" ht="12.75" customHeight="1">
      <c r="A8" s="244" t="s">
        <v>1034</v>
      </c>
      <c r="B8" s="186" t="s">
        <v>1035</v>
      </c>
      <c r="C8" s="246">
        <f t="shared" si="0"/>
        <v>140</v>
      </c>
      <c r="D8" s="246">
        <f t="shared" si="0"/>
        <v>140</v>
      </c>
      <c r="E8" s="21" t="s">
        <v>969</v>
      </c>
      <c r="V8" t="s">
        <v>1033</v>
      </c>
      <c r="AA8" s="244" t="s">
        <v>1034</v>
      </c>
      <c r="AB8" s="186" t="s">
        <v>1035</v>
      </c>
      <c r="AC8" s="247">
        <f>MAX((7*AC3),80)</f>
        <v>140</v>
      </c>
      <c r="AD8" s="247">
        <f>MAX((7*AC3),80)</f>
        <v>140</v>
      </c>
      <c r="AE8" s="21" t="s">
        <v>969</v>
      </c>
    </row>
    <row r="9" spans="1:31" ht="12.75" customHeight="1">
      <c r="A9" s="244" t="s">
        <v>1036</v>
      </c>
      <c r="B9" s="186" t="s">
        <v>40</v>
      </c>
      <c r="C9" s="246">
        <f t="shared" si="0"/>
        <v>80</v>
      </c>
      <c r="D9" s="246">
        <f t="shared" si="0"/>
        <v>140</v>
      </c>
      <c r="E9" s="21" t="s">
        <v>969</v>
      </c>
      <c r="AA9" s="244" t="s">
        <v>1036</v>
      </c>
      <c r="AB9" s="186" t="s">
        <v>40</v>
      </c>
      <c r="AC9" s="247">
        <f>MAX((1+6*SIN(W7))*AC3,(4*AC3))</f>
        <v>80</v>
      </c>
      <c r="AD9" s="247">
        <f>MAX((1+6*SIN(X7))*AC3,(4*AC3))</f>
        <v>140</v>
      </c>
      <c r="AE9" s="21" t="s">
        <v>969</v>
      </c>
    </row>
    <row r="10" spans="1:31" ht="12.75" customHeight="1">
      <c r="A10" s="496" t="s">
        <v>1036</v>
      </c>
      <c r="B10" s="186" t="s">
        <v>41</v>
      </c>
      <c r="C10" s="246">
        <f t="shared" si="0"/>
        <v>80</v>
      </c>
      <c r="D10" s="246">
        <f t="shared" si="0"/>
        <v>80</v>
      </c>
      <c r="E10" s="21" t="s">
        <v>969</v>
      </c>
      <c r="AA10" s="496" t="s">
        <v>1036</v>
      </c>
      <c r="AB10" s="186" t="s">
        <v>41</v>
      </c>
      <c r="AC10" s="247">
        <f>AC3*4</f>
        <v>80</v>
      </c>
      <c r="AD10" s="247">
        <f>AC3*4</f>
        <v>80</v>
      </c>
      <c r="AE10" s="21" t="s">
        <v>969</v>
      </c>
    </row>
    <row r="11" spans="1:31" ht="12.75" customHeight="1">
      <c r="A11" s="244" t="s">
        <v>1036</v>
      </c>
      <c r="B11" s="186" t="s">
        <v>42</v>
      </c>
      <c r="C11" s="246">
        <f t="shared" si="0"/>
        <v>80</v>
      </c>
      <c r="D11" s="246">
        <f t="shared" si="0"/>
        <v>140</v>
      </c>
      <c r="E11" s="21" t="s">
        <v>969</v>
      </c>
      <c r="AA11" s="244" t="s">
        <v>1036</v>
      </c>
      <c r="AB11" s="186" t="s">
        <v>42</v>
      </c>
      <c r="AC11" s="247">
        <f>AC9</f>
        <v>80</v>
      </c>
      <c r="AD11" s="247">
        <f>AD9</f>
        <v>140</v>
      </c>
      <c r="AE11" s="21" t="s">
        <v>969</v>
      </c>
    </row>
    <row r="12" spans="1:31" ht="12.75" customHeight="1">
      <c r="A12" s="244" t="s">
        <v>1037</v>
      </c>
      <c r="B12" s="186" t="s">
        <v>1038</v>
      </c>
      <c r="C12" s="246">
        <f t="shared" si="0"/>
        <v>60</v>
      </c>
      <c r="D12" s="246">
        <f t="shared" si="0"/>
        <v>80</v>
      </c>
      <c r="E12" s="21" t="s">
        <v>969</v>
      </c>
      <c r="AA12" s="244" t="s">
        <v>1037</v>
      </c>
      <c r="AB12" s="186" t="s">
        <v>1038</v>
      </c>
      <c r="AC12" s="247">
        <f>MAX((2+2*SIN(W7))*AC3,(3*AC3))</f>
        <v>60</v>
      </c>
      <c r="AD12" s="247">
        <f>MAX((2+2*SIN(X7))*AC3,(3*AC3))</f>
        <v>80</v>
      </c>
      <c r="AE12" s="21" t="s">
        <v>969</v>
      </c>
    </row>
    <row r="13" spans="1:31" ht="12.75" customHeight="1" thickBot="1">
      <c r="A13" s="245" t="s">
        <v>1039</v>
      </c>
      <c r="B13" s="50"/>
      <c r="C13" s="246">
        <f t="shared" si="0"/>
        <v>60</v>
      </c>
      <c r="D13" s="246">
        <f t="shared" si="0"/>
        <v>60</v>
      </c>
      <c r="E13" s="51" t="s">
        <v>969</v>
      </c>
      <c r="AA13" s="245" t="s">
        <v>1039</v>
      </c>
      <c r="AB13" s="50"/>
      <c r="AC13" s="248">
        <f>3*AC3</f>
        <v>60</v>
      </c>
      <c r="AD13" s="248">
        <f>3*AC3</f>
        <v>60</v>
      </c>
      <c r="AE13" s="51" t="s">
        <v>969</v>
      </c>
    </row>
    <row r="14" spans="1:31" ht="5.95" customHeight="1" thickBot="1">
      <c r="B14" s="1"/>
      <c r="C14" s="61"/>
      <c r="D14" s="61"/>
      <c r="E14" s="1"/>
    </row>
    <row r="15" spans="1:31" ht="17.350000000000001" customHeight="1">
      <c r="A15" s="1464" t="s">
        <v>33</v>
      </c>
      <c r="B15" s="1469"/>
      <c r="C15" s="1469"/>
      <c r="D15" s="1470"/>
      <c r="E15" s="548"/>
      <c r="Q15">
        <v>0</v>
      </c>
      <c r="AA15" s="44" t="s">
        <v>1040</v>
      </c>
      <c r="AB15" s="133"/>
      <c r="AC15" s="1477">
        <f>C3</f>
        <v>20</v>
      </c>
      <c r="AD15" s="1392"/>
      <c r="AE15" s="134" t="s">
        <v>969</v>
      </c>
    </row>
    <row r="16" spans="1:31" ht="17.350000000000001" customHeight="1">
      <c r="A16" s="1471" t="s">
        <v>591</v>
      </c>
      <c r="B16" s="1269"/>
      <c r="C16" s="1269"/>
      <c r="D16" s="490">
        <v>16</v>
      </c>
      <c r="E16" s="359"/>
      <c r="AA16" s="527"/>
      <c r="AB16" s="30"/>
      <c r="AC16" s="546"/>
      <c r="AD16" s="547"/>
      <c r="AE16" s="34"/>
    </row>
    <row r="17" spans="1:31" ht="15.65">
      <c r="A17" s="1472" t="s">
        <v>572</v>
      </c>
      <c r="B17" s="1473"/>
      <c r="C17" s="1472" t="s">
        <v>573</v>
      </c>
      <c r="D17" s="1473"/>
      <c r="F17" s="76" t="s">
        <v>1084</v>
      </c>
      <c r="G17" s="176"/>
      <c r="Y17">
        <v>1</v>
      </c>
      <c r="AA17" s="528"/>
      <c r="AB17" s="529"/>
      <c r="AC17" s="525" t="s">
        <v>572</v>
      </c>
      <c r="AD17" s="526" t="s">
        <v>573</v>
      </c>
      <c r="AE17" s="530"/>
    </row>
    <row r="18" spans="1:31" ht="16.5" customHeight="1" thickBot="1">
      <c r="A18" s="544" t="s">
        <v>43</v>
      </c>
      <c r="B18" s="634">
        <v>100</v>
      </c>
      <c r="C18" s="544" t="s">
        <v>43</v>
      </c>
      <c r="D18" s="634">
        <v>100</v>
      </c>
      <c r="F18" s="539" t="s">
        <v>1085</v>
      </c>
      <c r="G18" s="540"/>
      <c r="Y18" t="s">
        <v>575</v>
      </c>
      <c r="AA18" s="45" t="s">
        <v>1152</v>
      </c>
      <c r="AB18" s="52"/>
      <c r="AC18" s="243">
        <f>C5</f>
        <v>0</v>
      </c>
      <c r="AD18" s="243">
        <f>D5</f>
        <v>90</v>
      </c>
      <c r="AE18" s="154" t="s">
        <v>1030</v>
      </c>
    </row>
    <row r="19" spans="1:31" ht="16.5" customHeight="1" thickBot="1">
      <c r="A19" s="545" t="s">
        <v>130</v>
      </c>
      <c r="B19" s="635">
        <v>0</v>
      </c>
      <c r="C19" s="545" t="s">
        <v>130</v>
      </c>
      <c r="D19" s="635">
        <v>0</v>
      </c>
      <c r="F19" s="1467" t="s">
        <v>1142</v>
      </c>
      <c r="G19" s="1468"/>
      <c r="Y19" t="s">
        <v>576</v>
      </c>
      <c r="AA19" s="244" t="s">
        <v>1031</v>
      </c>
      <c r="AB19" s="46"/>
      <c r="AC19" s="246">
        <f>(3+2*COS(W7))*AC15</f>
        <v>100</v>
      </c>
      <c r="AD19" s="246">
        <f>(3+2*COS(X7))*AC15</f>
        <v>60</v>
      </c>
      <c r="AE19" s="21" t="s">
        <v>969</v>
      </c>
    </row>
    <row r="20" spans="1:31" ht="16.5" customHeight="1" thickBot="1">
      <c r="A20" s="1491" t="s">
        <v>588</v>
      </c>
      <c r="B20" s="1491"/>
      <c r="C20" s="1491"/>
      <c r="D20" s="1491"/>
      <c r="H20" s="394"/>
      <c r="AA20" s="244" t="s">
        <v>1032</v>
      </c>
      <c r="AB20" s="46"/>
      <c r="AC20" s="247">
        <f>AC15*3</f>
        <v>60</v>
      </c>
      <c r="AD20" s="247">
        <f>AC15*3</f>
        <v>60</v>
      </c>
      <c r="AE20" s="21" t="s">
        <v>969</v>
      </c>
    </row>
    <row r="21" spans="1:31" ht="16.5" customHeight="1">
      <c r="A21" s="543" t="s">
        <v>582</v>
      </c>
      <c r="B21" s="636">
        <v>0</v>
      </c>
      <c r="C21" s="543" t="s">
        <v>582</v>
      </c>
      <c r="D21" s="636">
        <v>0</v>
      </c>
      <c r="E21" s="536"/>
      <c r="F21" s="193"/>
      <c r="G21" s="538"/>
      <c r="AA21" s="244" t="s">
        <v>1034</v>
      </c>
      <c r="AB21" s="186" t="s">
        <v>1035</v>
      </c>
      <c r="AC21" s="247">
        <f>MAX((7*AC15),80)</f>
        <v>140</v>
      </c>
      <c r="AD21" s="247">
        <f>MAX((7*AC15),80)</f>
        <v>140</v>
      </c>
      <c r="AE21" s="21" t="s">
        <v>969</v>
      </c>
    </row>
    <row r="22" spans="1:31" ht="16.5" customHeight="1">
      <c r="A22" s="544" t="s">
        <v>583</v>
      </c>
      <c r="B22" s="637">
        <v>0</v>
      </c>
      <c r="C22" s="544" t="s">
        <v>583</v>
      </c>
      <c r="D22" s="637">
        <v>0</v>
      </c>
      <c r="E22" s="536"/>
      <c r="F22" s="1484" t="s">
        <v>589</v>
      </c>
      <c r="G22" s="1311"/>
      <c r="R22">
        <f>((($B$18/(13*$D$16))^0.25)*((5)^0.9))*B21</f>
        <v>0</v>
      </c>
      <c r="T22">
        <f>((($D$18/(13*$D$16))^0.25)*((5)^0.9))*D21</f>
        <v>0</v>
      </c>
      <c r="AA22" s="244" t="s">
        <v>1036</v>
      </c>
      <c r="AB22" s="186" t="s">
        <v>40</v>
      </c>
      <c r="AC22" s="247">
        <f>MAX((AC21*SIN(W7)),(3*AC15))</f>
        <v>60</v>
      </c>
      <c r="AD22" s="247">
        <f>MAX((AD21*SIN(X7)),(3*AC15))</f>
        <v>140</v>
      </c>
      <c r="AE22" s="21" t="s">
        <v>969</v>
      </c>
    </row>
    <row r="23" spans="1:31" ht="16.5" customHeight="1">
      <c r="A23" s="544" t="s">
        <v>584</v>
      </c>
      <c r="B23" s="637">
        <v>0</v>
      </c>
      <c r="C23" s="544" t="s">
        <v>584</v>
      </c>
      <c r="D23" s="637">
        <v>0</v>
      </c>
      <c r="E23" s="536"/>
      <c r="F23" s="1485" t="s">
        <v>590</v>
      </c>
      <c r="G23" s="1486"/>
      <c r="R23">
        <f>((($B$18/(13*$D$16))^0.25)*((4)^0.9))*B22</f>
        <v>0</v>
      </c>
      <c r="T23">
        <f>((($D$18/(13*$D$16))^0.25)*((4)^0.9))*D22</f>
        <v>0</v>
      </c>
      <c r="AA23" s="244" t="s">
        <v>1036</v>
      </c>
      <c r="AB23" s="186" t="s">
        <v>41</v>
      </c>
      <c r="AC23" s="247">
        <f>AC15*3</f>
        <v>60</v>
      </c>
      <c r="AD23" s="247">
        <f>AC15*3</f>
        <v>60</v>
      </c>
      <c r="AE23" s="21" t="s">
        <v>969</v>
      </c>
    </row>
    <row r="24" spans="1:31" ht="16.5" customHeight="1">
      <c r="A24" s="544" t="s">
        <v>585</v>
      </c>
      <c r="B24" s="637">
        <v>2</v>
      </c>
      <c r="C24" s="544" t="s">
        <v>585</v>
      </c>
      <c r="D24" s="637">
        <v>2</v>
      </c>
      <c r="E24" s="191"/>
      <c r="F24" s="1487">
        <f>MIN(R29:T29)</f>
        <v>3.1077148140855648</v>
      </c>
      <c r="G24" s="1488"/>
      <c r="R24">
        <f>((($B$18/(13*$D$16))^0.25)*((3)^0.9))*B23</f>
        <v>0</v>
      </c>
      <c r="T24">
        <f>((($D$18/(13*$D$16))^0.25)*((3)^0.9))*D23</f>
        <v>0</v>
      </c>
      <c r="AA24" s="244" t="s">
        <v>1036</v>
      </c>
      <c r="AB24" s="186" t="s">
        <v>42</v>
      </c>
      <c r="AC24" s="247">
        <f>AC22</f>
        <v>60</v>
      </c>
      <c r="AD24" s="247">
        <f>AD22</f>
        <v>140</v>
      </c>
      <c r="AE24" s="21" t="s">
        <v>969</v>
      </c>
    </row>
    <row r="25" spans="1:31" ht="16.5" customHeight="1">
      <c r="A25" s="544" t="s">
        <v>586</v>
      </c>
      <c r="B25" s="637">
        <v>0</v>
      </c>
      <c r="C25" s="544" t="s">
        <v>586</v>
      </c>
      <c r="D25" s="637">
        <v>0</v>
      </c>
      <c r="E25" s="191"/>
      <c r="F25" s="1489"/>
      <c r="G25" s="1490"/>
      <c r="R25">
        <f>((($B$18/(13*$D$16))^0.25)*((2)^0.9))*B24</f>
        <v>3.1077148140855648</v>
      </c>
      <c r="T25">
        <f>((($D$18/(13*$D$16))^0.25)*((2)^0.9))*D24</f>
        <v>3.1077148140855648</v>
      </c>
      <c r="AA25" s="244" t="s">
        <v>1037</v>
      </c>
      <c r="AB25" s="186" t="s">
        <v>1038</v>
      </c>
      <c r="AC25" s="247">
        <f>MAX((2+2*SIN(W7))*AC15,(3*AC15))</f>
        <v>60</v>
      </c>
      <c r="AD25" s="247">
        <f>MAX((2+2*SIN(X7))*AC15,(3*AC15))</f>
        <v>80</v>
      </c>
      <c r="AE25" s="21" t="s">
        <v>969</v>
      </c>
    </row>
    <row r="26" spans="1:31" ht="13.6" customHeight="1" thickBot="1">
      <c r="A26" s="537" t="s">
        <v>587</v>
      </c>
      <c r="B26" s="259">
        <f>B21*5+B22*4+B23*3+B24*2+B25</f>
        <v>4</v>
      </c>
      <c r="C26" s="537" t="s">
        <v>587</v>
      </c>
      <c r="D26" s="259">
        <f>D21*5+D22*4+D23*3+D24*2+D25</f>
        <v>4</v>
      </c>
      <c r="E26" s="191"/>
      <c r="R26">
        <f>B25</f>
        <v>0</v>
      </c>
      <c r="T26">
        <f>D25</f>
        <v>0</v>
      </c>
      <c r="AA26" s="245" t="s">
        <v>1039</v>
      </c>
      <c r="AB26" s="49"/>
      <c r="AC26" s="248">
        <f>3*AC15</f>
        <v>60</v>
      </c>
      <c r="AD26" s="248">
        <f>3*AC15</f>
        <v>60</v>
      </c>
      <c r="AE26" s="51" t="s">
        <v>969</v>
      </c>
    </row>
    <row r="27" spans="1:31" ht="13.6" customHeight="1">
      <c r="A27" s="542" t="str">
        <f>IF(B26=D26,"","IMPOSSIBLE NB DE BOULONS DOIT ETRE IDENTIQUE DANS LES DEUX PIECES")</f>
        <v/>
      </c>
      <c r="R27">
        <f>SUM(R22:R26)</f>
        <v>3.1077148140855648</v>
      </c>
      <c r="T27">
        <f>SUM(T22:T26)</f>
        <v>3.1077148140855648</v>
      </c>
      <c r="U27" s="1"/>
      <c r="V27" s="1"/>
      <c r="Y27" s="246"/>
    </row>
    <row r="28" spans="1:31">
      <c r="R28">
        <f>B26</f>
        <v>4</v>
      </c>
      <c r="T28">
        <f>D26</f>
        <v>4</v>
      </c>
    </row>
    <row r="29" spans="1:31" ht="13.6">
      <c r="R29">
        <f>(((R28-R27)/90)*B19)+R27</f>
        <v>3.1077148140855648</v>
      </c>
      <c r="T29">
        <f>(((T28-T27)/90)*D19)+T27</f>
        <v>3.1077148140855648</v>
      </c>
      <c r="U29" s="541"/>
    </row>
    <row r="30" spans="1:31" ht="13.6">
      <c r="T30" s="1"/>
      <c r="U30" s="541"/>
    </row>
    <row r="31" spans="1:31">
      <c r="S31" s="1"/>
    </row>
    <row r="32" spans="1:31" ht="13.6" customHeight="1"/>
    <row r="33" ht="13.6" customHeight="1"/>
    <row r="34" ht="13.6" customHeight="1"/>
    <row r="35" ht="13.6" customHeight="1"/>
    <row r="36" ht="13.6" customHeight="1"/>
    <row r="37" ht="13.6" customHeight="1"/>
  </sheetData>
  <mergeCells count="17">
    <mergeCell ref="F22:G22"/>
    <mergeCell ref="F23:G23"/>
    <mergeCell ref="F24:G25"/>
    <mergeCell ref="A20:D20"/>
    <mergeCell ref="AC3:AD3"/>
    <mergeCell ref="AA5:AB5"/>
    <mergeCell ref="AC15:AD15"/>
    <mergeCell ref="A2:B2"/>
    <mergeCell ref="A3:B3"/>
    <mergeCell ref="C3:D3"/>
    <mergeCell ref="A5:B5"/>
    <mergeCell ref="A1:E1"/>
    <mergeCell ref="F19:G19"/>
    <mergeCell ref="A15:D15"/>
    <mergeCell ref="A16:C16"/>
    <mergeCell ref="A17:B17"/>
    <mergeCell ref="C17:D17"/>
  </mergeCells>
  <phoneticPr fontId="2" type="noConversion"/>
  <hyperlinks>
    <hyperlink ref="F19" location="MENU!A1" display="RETOUR MENU"/>
    <hyperlink ref="F19:G19" location="'M3'!A1" display="RETOUR MENU"/>
  </hyperlinks>
  <pageMargins left="0.78740157499999996" right="0.78740157499999996" top="0.984251969" bottom="0.984251969" header="0.4921259845" footer="0.4921259845"/>
  <pageSetup paperSize="9" orientation="portrait"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17" r:id="rId4" name="Drop Down 21">
              <controlPr defaultSize="0" autoLine="0" autoPict="0">
                <anchor moveWithCells="1">
                  <from>
                    <xdr:col>2</xdr:col>
                    <xdr:colOff>25879</xdr:colOff>
                    <xdr:row>1</xdr:row>
                    <xdr:rowOff>25879</xdr:rowOff>
                  </from>
                  <to>
                    <xdr:col>4</xdr:col>
                    <xdr:colOff>672860</xdr:colOff>
                    <xdr:row>1</xdr:row>
                    <xdr:rowOff>241540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4"/>
  <dimension ref="A1:AW37"/>
  <sheetViews>
    <sheetView workbookViewId="0">
      <selection activeCell="F2" sqref="F2"/>
    </sheetView>
  </sheetViews>
  <sheetFormatPr baseColWidth="10" defaultRowHeight="12.9"/>
  <cols>
    <col min="1" max="1" width="11.75" customWidth="1"/>
    <col min="2" max="2" width="33.625" customWidth="1"/>
    <col min="3" max="3" width="14.25" customWidth="1"/>
    <col min="4" max="4" width="14.875" customWidth="1"/>
    <col min="5" max="5" width="20.875" customWidth="1"/>
    <col min="6" max="6" width="17" customWidth="1"/>
    <col min="7" max="7" width="14.875" customWidth="1"/>
    <col min="11" max="11" width="22.25" customWidth="1"/>
    <col min="16" max="16" width="6.875" customWidth="1"/>
    <col min="23" max="24" width="8.875" customWidth="1"/>
    <col min="25" max="25" width="11.25" customWidth="1"/>
  </cols>
  <sheetData>
    <row r="1" spans="1:26" ht="23.3" customHeight="1" thickBot="1">
      <c r="A1" s="1497" t="s">
        <v>1217</v>
      </c>
      <c r="B1" s="1498"/>
      <c r="C1" s="1498"/>
      <c r="D1" s="1498"/>
      <c r="E1" s="1499"/>
      <c r="K1" s="633">
        <v>1</v>
      </c>
    </row>
    <row r="2" spans="1:26" ht="15.8" customHeight="1" thickBot="1">
      <c r="A2" s="1493" t="s">
        <v>973</v>
      </c>
      <c r="B2" s="17" t="s">
        <v>548</v>
      </c>
      <c r="C2" s="30"/>
      <c r="D2" s="484" t="str">
        <f>INDEX(L2:L3,K1,1)</f>
        <v>R</v>
      </c>
      <c r="E2" s="34"/>
      <c r="F2" s="127" t="s">
        <v>1142</v>
      </c>
      <c r="K2" t="s">
        <v>546</v>
      </c>
      <c r="L2" s="334" t="s">
        <v>991</v>
      </c>
    </row>
    <row r="3" spans="1:26" ht="14.95" customHeight="1">
      <c r="A3" s="1494"/>
      <c r="B3" s="3" t="s">
        <v>966</v>
      </c>
      <c r="C3" s="31" t="s">
        <v>967</v>
      </c>
      <c r="D3" s="493">
        <f>INDEX(L6:L19,L5,1)</f>
        <v>340</v>
      </c>
      <c r="E3" s="35"/>
      <c r="K3" t="s">
        <v>547</v>
      </c>
      <c r="L3" t="s">
        <v>1066</v>
      </c>
    </row>
    <row r="4" spans="1:26" ht="14.95" customHeight="1">
      <c r="A4" s="1494"/>
      <c r="B4" s="3" t="s">
        <v>1146</v>
      </c>
      <c r="C4" s="32" t="s">
        <v>953</v>
      </c>
      <c r="D4" s="493">
        <v>80</v>
      </c>
      <c r="E4" s="35" t="s">
        <v>969</v>
      </c>
    </row>
    <row r="5" spans="1:26" ht="14.95" customHeight="1">
      <c r="A5" s="1494"/>
      <c r="B5" s="3" t="s">
        <v>1147</v>
      </c>
      <c r="C5" s="32" t="s">
        <v>952</v>
      </c>
      <c r="D5" s="493">
        <v>80</v>
      </c>
      <c r="E5" s="35" t="s">
        <v>969</v>
      </c>
      <c r="L5" s="633">
        <v>2</v>
      </c>
      <c r="P5" t="s">
        <v>695</v>
      </c>
    </row>
    <row r="6" spans="1:26" ht="14.95" customHeight="1">
      <c r="A6" s="1494"/>
      <c r="B6" s="3" t="s">
        <v>956</v>
      </c>
      <c r="C6" s="33" t="s">
        <v>957</v>
      </c>
      <c r="D6" s="493">
        <v>0</v>
      </c>
      <c r="E6" s="35" t="s">
        <v>970</v>
      </c>
      <c r="K6" t="s">
        <v>549</v>
      </c>
      <c r="L6">
        <v>320</v>
      </c>
      <c r="M6" s="344"/>
      <c r="O6" t="s">
        <v>681</v>
      </c>
      <c r="P6" s="1">
        <v>320</v>
      </c>
    </row>
    <row r="7" spans="1:26" ht="14.95" customHeight="1">
      <c r="A7" s="1494"/>
      <c r="B7" s="3" t="s">
        <v>959</v>
      </c>
      <c r="C7" s="33" t="s">
        <v>958</v>
      </c>
      <c r="D7" s="493">
        <v>90</v>
      </c>
      <c r="E7" s="35" t="s">
        <v>970</v>
      </c>
      <c r="K7" t="s">
        <v>550</v>
      </c>
      <c r="L7">
        <v>340</v>
      </c>
      <c r="M7" s="344"/>
      <c r="O7" t="s">
        <v>682</v>
      </c>
      <c r="P7" s="1">
        <v>340</v>
      </c>
    </row>
    <row r="8" spans="1:26" ht="14.95" customHeight="1">
      <c r="A8" s="1494"/>
      <c r="B8" s="3" t="s">
        <v>949</v>
      </c>
      <c r="C8" s="32" t="s">
        <v>954</v>
      </c>
      <c r="D8" s="493">
        <v>8</v>
      </c>
      <c r="E8" s="35" t="s">
        <v>969</v>
      </c>
      <c r="F8" s="633"/>
      <c r="K8" t="s">
        <v>1268</v>
      </c>
      <c r="L8">
        <v>350</v>
      </c>
      <c r="M8" s="344"/>
      <c r="O8" t="s">
        <v>683</v>
      </c>
      <c r="P8" s="1">
        <v>380</v>
      </c>
    </row>
    <row r="9" spans="1:26" ht="14.95" customHeight="1">
      <c r="A9" s="1494"/>
      <c r="B9" s="3" t="s">
        <v>1024</v>
      </c>
      <c r="C9" s="32" t="s">
        <v>1025</v>
      </c>
      <c r="D9" s="488">
        <v>1.1000000000000001</v>
      </c>
      <c r="E9" s="35"/>
      <c r="K9" t="s">
        <v>551</v>
      </c>
      <c r="L9">
        <v>380</v>
      </c>
      <c r="M9" s="344"/>
      <c r="O9" t="s">
        <v>684</v>
      </c>
      <c r="P9" s="1">
        <v>380</v>
      </c>
    </row>
    <row r="10" spans="1:26" ht="15.8" customHeight="1" thickBot="1">
      <c r="A10" s="1494"/>
      <c r="B10" s="3" t="s">
        <v>950</v>
      </c>
      <c r="C10" s="32" t="s">
        <v>955</v>
      </c>
      <c r="D10" s="494">
        <v>600</v>
      </c>
      <c r="E10" s="35" t="s">
        <v>971</v>
      </c>
      <c r="F10" s="2" t="s">
        <v>989</v>
      </c>
      <c r="K10" t="s">
        <v>552</v>
      </c>
      <c r="L10">
        <v>380</v>
      </c>
      <c r="M10" s="344"/>
      <c r="O10" t="s">
        <v>685</v>
      </c>
      <c r="P10" s="1">
        <v>410</v>
      </c>
    </row>
    <row r="11" spans="1:26" ht="15.8" customHeight="1">
      <c r="A11" s="18"/>
      <c r="B11" s="5" t="s">
        <v>947</v>
      </c>
      <c r="C11" s="6" t="s">
        <v>964</v>
      </c>
      <c r="D11" s="241">
        <f>X22</f>
        <v>25.649600000000003</v>
      </c>
      <c r="E11" s="19" t="s">
        <v>971</v>
      </c>
      <c r="K11" t="s">
        <v>553</v>
      </c>
      <c r="L11">
        <v>410</v>
      </c>
      <c r="M11" s="344"/>
      <c r="O11" t="s">
        <v>686</v>
      </c>
      <c r="P11" s="1">
        <v>530</v>
      </c>
    </row>
    <row r="12" spans="1:26" ht="15.8" customHeight="1">
      <c r="A12" s="18"/>
      <c r="B12" s="5" t="s">
        <v>948</v>
      </c>
      <c r="C12" s="6" t="s">
        <v>965</v>
      </c>
      <c r="D12" s="16">
        <f>X23</f>
        <v>17.448707482993196</v>
      </c>
      <c r="E12" s="19" t="s">
        <v>971</v>
      </c>
      <c r="K12" t="s">
        <v>554</v>
      </c>
      <c r="L12">
        <v>530</v>
      </c>
      <c r="M12" s="344"/>
      <c r="O12" t="s">
        <v>687</v>
      </c>
      <c r="P12" s="1">
        <v>560</v>
      </c>
    </row>
    <row r="13" spans="1:26" ht="15.8" customHeight="1">
      <c r="A13" s="18"/>
      <c r="B13" s="5" t="s">
        <v>960</v>
      </c>
      <c r="C13" s="7" t="s">
        <v>961</v>
      </c>
      <c r="D13" s="16">
        <f>D12/D11</f>
        <v>0.68027210884353728</v>
      </c>
      <c r="E13" s="20"/>
      <c r="K13" t="s">
        <v>555</v>
      </c>
      <c r="L13">
        <v>560</v>
      </c>
      <c r="M13" s="344"/>
      <c r="O13" t="s">
        <v>688</v>
      </c>
      <c r="P13" s="1">
        <v>430</v>
      </c>
    </row>
    <row r="14" spans="1:26" ht="15.8" customHeight="1">
      <c r="A14" s="18"/>
      <c r="B14" s="5" t="s">
        <v>962</v>
      </c>
      <c r="C14" s="8" t="s">
        <v>963</v>
      </c>
      <c r="D14" s="13">
        <f>0.3*D10*D8^2.6</f>
        <v>40114.969956685396</v>
      </c>
      <c r="E14" s="19" t="s">
        <v>972</v>
      </c>
      <c r="K14" t="s">
        <v>556</v>
      </c>
      <c r="L14">
        <v>430</v>
      </c>
      <c r="M14" s="344"/>
      <c r="O14" t="s">
        <v>689</v>
      </c>
      <c r="P14" s="1">
        <v>450</v>
      </c>
    </row>
    <row r="15" spans="1:26" ht="15.8" customHeight="1">
      <c r="A15" s="1495" t="s">
        <v>326</v>
      </c>
      <c r="B15" s="9" t="s">
        <v>981</v>
      </c>
      <c r="C15" s="10" t="s">
        <v>951</v>
      </c>
      <c r="D15" s="14">
        <f>(D11*D8*D4)</f>
        <v>16415.744000000002</v>
      </c>
      <c r="E15" s="21" t="s">
        <v>980</v>
      </c>
      <c r="K15" t="s">
        <v>557</v>
      </c>
      <c r="L15">
        <v>450</v>
      </c>
      <c r="M15" s="344"/>
      <c r="O15" t="s">
        <v>690</v>
      </c>
      <c r="P15" s="1">
        <v>370</v>
      </c>
      <c r="W15" s="11" t="s">
        <v>990</v>
      </c>
      <c r="X15" s="1">
        <f>IF(D2="R",(1.35+(0.015*D8)),IF(D2="F",(0.9+(0.015*D8)),1))</f>
        <v>1.4700000000000002</v>
      </c>
    </row>
    <row r="16" spans="1:26" ht="14.95" customHeight="1">
      <c r="A16" s="1495"/>
      <c r="B16" s="9" t="s">
        <v>981</v>
      </c>
      <c r="C16" s="10" t="s">
        <v>961</v>
      </c>
      <c r="D16" s="14">
        <f>(D12*D5*D8)</f>
        <v>11167.172789115646</v>
      </c>
      <c r="E16" s="21" t="s">
        <v>980</v>
      </c>
      <c r="K16" t="s">
        <v>558</v>
      </c>
      <c r="L16">
        <v>370</v>
      </c>
      <c r="M16" s="344"/>
      <c r="O16" t="s">
        <v>691</v>
      </c>
      <c r="P16" s="1">
        <v>370</v>
      </c>
      <c r="Y16" s="1" t="s">
        <v>995</v>
      </c>
      <c r="Z16" s="1" t="s">
        <v>994</v>
      </c>
    </row>
    <row r="17" spans="1:49" ht="14.95" customHeight="1">
      <c r="A17" s="1495"/>
      <c r="B17" s="9" t="s">
        <v>981</v>
      </c>
      <c r="C17" s="10" t="s">
        <v>974</v>
      </c>
      <c r="D17" s="14">
        <f>((D15/(1+D13))*X28)</f>
        <v>5681.496588930796</v>
      </c>
      <c r="E17" s="21" t="s">
        <v>980</v>
      </c>
      <c r="K17" t="s">
        <v>559</v>
      </c>
      <c r="L17">
        <v>370</v>
      </c>
      <c r="M17" s="344"/>
      <c r="O17" t="s">
        <v>692</v>
      </c>
      <c r="P17" s="1">
        <v>460</v>
      </c>
      <c r="W17" s="12" t="s">
        <v>992</v>
      </c>
      <c r="X17">
        <f>D6/360*2*PI()</f>
        <v>0</v>
      </c>
      <c r="Y17" s="15">
        <f>SIN(X17)^2</f>
        <v>0</v>
      </c>
      <c r="Z17" s="15">
        <f>COS(X17)^2</f>
        <v>1</v>
      </c>
    </row>
    <row r="18" spans="1:49" ht="14.95" customHeight="1">
      <c r="A18" s="1495"/>
      <c r="B18" s="9" t="s">
        <v>985</v>
      </c>
      <c r="C18" s="10" t="s">
        <v>954</v>
      </c>
      <c r="D18" s="14">
        <f>1.05*(D11*D8*D4)/(2+D13)*X29</f>
        <v>5811.3859123043248</v>
      </c>
      <c r="E18" s="21" t="s">
        <v>980</v>
      </c>
      <c r="F18" s="1500" t="s">
        <v>323</v>
      </c>
      <c r="G18" s="1501"/>
      <c r="K18" t="s">
        <v>560</v>
      </c>
      <c r="L18">
        <v>460</v>
      </c>
      <c r="M18" s="344"/>
      <c r="O18" t="s">
        <v>693</v>
      </c>
      <c r="P18" s="1">
        <v>570</v>
      </c>
      <c r="W18" s="12" t="s">
        <v>993</v>
      </c>
      <c r="X18">
        <f>D7/360*2*PI()</f>
        <v>1.5707963267948966</v>
      </c>
      <c r="Y18" s="15">
        <f>SIN(X18)^2</f>
        <v>1</v>
      </c>
      <c r="Z18" s="15">
        <f>COS(X18)^2</f>
        <v>3.7524718414124473E-33</v>
      </c>
    </row>
    <row r="19" spans="1:49" ht="14.95" customHeight="1">
      <c r="A19" s="1495"/>
      <c r="B19" s="9" t="s">
        <v>985</v>
      </c>
      <c r="C19" s="10" t="s">
        <v>975</v>
      </c>
      <c r="D19" s="14">
        <f>(((1.05*D11*D5*D8)/(1+(2*D13)))*X30)</f>
        <v>4696.012788582444</v>
      </c>
      <c r="E19" s="21" t="s">
        <v>980</v>
      </c>
      <c r="F19" s="1085" t="s">
        <v>325</v>
      </c>
      <c r="G19" s="46" t="s">
        <v>1056</v>
      </c>
      <c r="K19" t="s">
        <v>561</v>
      </c>
      <c r="L19">
        <v>570</v>
      </c>
      <c r="O19" t="s">
        <v>694</v>
      </c>
      <c r="P19" s="1">
        <v>500</v>
      </c>
      <c r="R19" s="1"/>
      <c r="W19" s="1" t="s">
        <v>996</v>
      </c>
      <c r="X19">
        <f>0.082*(1-0.01*D8)*D3*X20</f>
        <v>25.649600000000003</v>
      </c>
    </row>
    <row r="20" spans="1:49" ht="14.95" customHeight="1">
      <c r="A20" s="1495"/>
      <c r="B20" s="9" t="s">
        <v>986</v>
      </c>
      <c r="C20" s="10" t="s">
        <v>976</v>
      </c>
      <c r="D20" s="14">
        <f>(1.15*X31*X32)</f>
        <v>4198.729407844191</v>
      </c>
      <c r="E20" s="21" t="s">
        <v>980</v>
      </c>
      <c r="F20" s="1089">
        <f>MIN(D15:D20)</f>
        <v>4198.729407844191</v>
      </c>
      <c r="G20" s="1088">
        <f>F20/1.3*$D$9</f>
        <v>3552.7710374066232</v>
      </c>
      <c r="K20" t="s">
        <v>680</v>
      </c>
      <c r="W20" s="1" t="s">
        <v>1002</v>
      </c>
      <c r="X20">
        <v>1</v>
      </c>
    </row>
    <row r="21" spans="1:49" ht="14.95" customHeight="1">
      <c r="A21" s="1495"/>
      <c r="B21" s="22" t="s">
        <v>984</v>
      </c>
      <c r="C21" s="23" t="s">
        <v>977</v>
      </c>
      <c r="D21" s="24">
        <f>D15</f>
        <v>16415.744000000002</v>
      </c>
      <c r="E21" s="38" t="s">
        <v>980</v>
      </c>
      <c r="F21" s="1112" t="s">
        <v>1100</v>
      </c>
      <c r="G21" s="22"/>
      <c r="W21" s="1"/>
    </row>
    <row r="22" spans="1:49" ht="14.95" customHeight="1">
      <c r="A22" s="1495"/>
      <c r="B22" s="22" t="s">
        <v>984</v>
      </c>
      <c r="C22" s="23" t="s">
        <v>978</v>
      </c>
      <c r="D22" s="24">
        <f>D16/2</f>
        <v>5583.586394557823</v>
      </c>
      <c r="E22" s="25" t="s">
        <v>980</v>
      </c>
      <c r="F22" s="1502" t="s">
        <v>324</v>
      </c>
      <c r="G22" s="1503"/>
      <c r="W22" s="1" t="s">
        <v>997</v>
      </c>
      <c r="X22">
        <f>X19/((X15*Y17)+Z17)</f>
        <v>25.649600000000003</v>
      </c>
    </row>
    <row r="23" spans="1:49" ht="14.95" customHeight="1">
      <c r="A23" s="1495"/>
      <c r="B23" s="22" t="s">
        <v>987</v>
      </c>
      <c r="C23" s="23" t="s">
        <v>982</v>
      </c>
      <c r="D23" s="24">
        <f>D18</f>
        <v>5811.3859123043248</v>
      </c>
      <c r="E23" s="25" t="s">
        <v>980</v>
      </c>
      <c r="F23" s="1086" t="s">
        <v>325</v>
      </c>
      <c r="G23" s="278" t="s">
        <v>1056</v>
      </c>
      <c r="W23" s="1" t="s">
        <v>998</v>
      </c>
      <c r="X23">
        <f>X19/((X15*Y18)+Z18)</f>
        <v>17.448707482993196</v>
      </c>
    </row>
    <row r="24" spans="1:49" ht="14.95" customHeight="1" thickBot="1">
      <c r="A24" s="1496"/>
      <c r="B24" s="26" t="s">
        <v>988</v>
      </c>
      <c r="C24" s="27" t="s">
        <v>983</v>
      </c>
      <c r="D24" s="28">
        <f>D20</f>
        <v>4198.729407844191</v>
      </c>
      <c r="E24" s="29" t="s">
        <v>980</v>
      </c>
      <c r="F24" s="1087">
        <f>MIN(D21:D24)</f>
        <v>4198.729407844191</v>
      </c>
      <c r="G24" s="1090">
        <f>F24/1.3*$D$9</f>
        <v>3552.7710374066232</v>
      </c>
    </row>
    <row r="25" spans="1:49">
      <c r="W25" s="1" t="s">
        <v>1003</v>
      </c>
      <c r="X25">
        <f>D5/D4</f>
        <v>1</v>
      </c>
      <c r="AL25">
        <v>90</v>
      </c>
    </row>
    <row r="26" spans="1:49">
      <c r="W26" s="1" t="s">
        <v>1004</v>
      </c>
      <c r="X26">
        <f>X25^2</f>
        <v>1</v>
      </c>
    </row>
    <row r="27" spans="1:49">
      <c r="I27">
        <v>90</v>
      </c>
      <c r="AL27">
        <v>18</v>
      </c>
      <c r="AV27" s="1492" t="s">
        <v>1274</v>
      </c>
      <c r="AW27" s="1492"/>
    </row>
    <row r="28" spans="1:49">
      <c r="W28" s="1" t="s">
        <v>1006</v>
      </c>
      <c r="X28">
        <f>((D13+(2*D13^2)*(1+X25+X26)+((D13^3)*X26))^0.5)-(D13*(1+X25))</f>
        <v>0.58154295381739085</v>
      </c>
      <c r="AK28">
        <v>40</v>
      </c>
      <c r="AL28">
        <v>1.04</v>
      </c>
      <c r="AN28">
        <v>1.17</v>
      </c>
      <c r="AO28">
        <f t="shared" ref="AO28:AO37" si="0">AN28/AL28</f>
        <v>1.125</v>
      </c>
      <c r="AQ28" t="e">
        <f>#REF!/AL28</f>
        <v>#REF!</v>
      </c>
      <c r="AV28" s="67" t="s">
        <v>1269</v>
      </c>
      <c r="AW28" s="79">
        <v>0.85</v>
      </c>
    </row>
    <row r="29" spans="1:49">
      <c r="W29" s="1" t="s">
        <v>1007</v>
      </c>
      <c r="X29">
        <f>((2*D13*(1+D13)+(4*D13*(2+D13)*D14)/(D11*D8*D4^2))^0.5)-D13</f>
        <v>0.9036676459864228</v>
      </c>
      <c r="AK29">
        <v>50</v>
      </c>
      <c r="AL29">
        <v>1.0900000000000001</v>
      </c>
      <c r="AN29">
        <v>1.29</v>
      </c>
      <c r="AO29">
        <f t="shared" si="0"/>
        <v>1.1834862385321101</v>
      </c>
      <c r="AQ29" t="e">
        <f>#REF!/AL29</f>
        <v>#REF!</v>
      </c>
      <c r="AV29" s="67" t="s">
        <v>1270</v>
      </c>
      <c r="AW29" s="79">
        <v>1</v>
      </c>
    </row>
    <row r="30" spans="1:49">
      <c r="W30" s="1" t="s">
        <v>1008</v>
      </c>
      <c r="X30">
        <f>((2*D13^2*(1+D13)+(4*D13*(1+2*D13)*D14)/(D11*D8*D5^2))^0.5)-D13</f>
        <v>0.64311929736029727</v>
      </c>
      <c r="AK30">
        <v>60</v>
      </c>
      <c r="AL30">
        <v>1.1200000000000001</v>
      </c>
      <c r="AN30">
        <v>1.31</v>
      </c>
      <c r="AO30">
        <f t="shared" si="0"/>
        <v>1.169642857142857</v>
      </c>
      <c r="AQ30" t="e">
        <f>#REF!/AL30</f>
        <v>#REF!</v>
      </c>
      <c r="AV30" s="67" t="s">
        <v>1271</v>
      </c>
      <c r="AW30" s="79">
        <v>1.1000000000000001</v>
      </c>
    </row>
    <row r="31" spans="1:49">
      <c r="W31" s="1" t="s">
        <v>1009</v>
      </c>
      <c r="X31">
        <f>(2*D13/(1+D13))^0.5</f>
        <v>0.89984254133169506</v>
      </c>
      <c r="AK31">
        <v>70</v>
      </c>
      <c r="AL31">
        <v>1.1599999999999999</v>
      </c>
      <c r="AN31">
        <v>1.34</v>
      </c>
      <c r="AO31">
        <f t="shared" si="0"/>
        <v>1.1551724137931036</v>
      </c>
      <c r="AQ31" t="e">
        <f>#REF!/AL31</f>
        <v>#REF!</v>
      </c>
      <c r="AV31" s="67" t="s">
        <v>1272</v>
      </c>
      <c r="AW31" s="79">
        <v>1.1499999999999999</v>
      </c>
    </row>
    <row r="32" spans="1:49">
      <c r="W32" s="1" t="s">
        <v>1010</v>
      </c>
      <c r="X32">
        <f>(2*D14*D11*D8)^0.5</f>
        <v>4057.4532572065405</v>
      </c>
      <c r="AK32">
        <v>80</v>
      </c>
      <c r="AL32">
        <v>1.21</v>
      </c>
      <c r="AO32">
        <f t="shared" si="0"/>
        <v>0</v>
      </c>
      <c r="AQ32" t="e">
        <f>#REF!/AL32</f>
        <v>#REF!</v>
      </c>
    </row>
    <row r="33" spans="37:49">
      <c r="AK33">
        <v>90</v>
      </c>
      <c r="AL33">
        <v>1.27</v>
      </c>
      <c r="AO33">
        <f t="shared" si="0"/>
        <v>0</v>
      </c>
      <c r="AQ33" t="e">
        <f>#REF!/AL33</f>
        <v>#REF!</v>
      </c>
      <c r="AV33" s="1492" t="s">
        <v>1274</v>
      </c>
      <c r="AW33" s="1492"/>
    </row>
    <row r="34" spans="37:49">
      <c r="AK34">
        <v>100</v>
      </c>
      <c r="AL34">
        <v>1.33</v>
      </c>
      <c r="AN34">
        <v>1.51</v>
      </c>
      <c r="AO34">
        <f t="shared" si="0"/>
        <v>1.1353383458646615</v>
      </c>
      <c r="AQ34" t="e">
        <f>#REF!/AL34</f>
        <v>#REF!</v>
      </c>
      <c r="AV34" s="67" t="s">
        <v>880</v>
      </c>
      <c r="AW34" s="79">
        <v>0.9</v>
      </c>
    </row>
    <row r="35" spans="37:49">
      <c r="AK35">
        <v>110</v>
      </c>
      <c r="AL35">
        <v>1.41</v>
      </c>
      <c r="AO35">
        <f t="shared" si="0"/>
        <v>0</v>
      </c>
      <c r="AQ35" t="e">
        <f>#REF!/AL35</f>
        <v>#REF!</v>
      </c>
      <c r="AV35" s="67" t="s">
        <v>882</v>
      </c>
      <c r="AW35" s="79">
        <v>1</v>
      </c>
    </row>
    <row r="36" spans="37:49">
      <c r="AK36">
        <v>120</v>
      </c>
      <c r="AL36">
        <v>1.48</v>
      </c>
      <c r="AO36">
        <f t="shared" si="0"/>
        <v>0</v>
      </c>
      <c r="AQ36" t="e">
        <f>#REF!/AL36</f>
        <v>#REF!</v>
      </c>
      <c r="AV36" s="67" t="s">
        <v>1273</v>
      </c>
      <c r="AW36" s="79">
        <v>1.05</v>
      </c>
    </row>
    <row r="37" spans="37:49">
      <c r="AK37">
        <v>130</v>
      </c>
      <c r="AL37">
        <v>1.55</v>
      </c>
      <c r="AN37">
        <v>1.9</v>
      </c>
      <c r="AO37">
        <f t="shared" si="0"/>
        <v>1.225806451612903</v>
      </c>
      <c r="AQ37" t="e">
        <f>#REF!/AL37</f>
        <v>#REF!</v>
      </c>
    </row>
  </sheetData>
  <mergeCells count="7">
    <mergeCell ref="AV33:AW33"/>
    <mergeCell ref="A2:A10"/>
    <mergeCell ref="A15:A24"/>
    <mergeCell ref="A1:E1"/>
    <mergeCell ref="F18:G18"/>
    <mergeCell ref="F22:G22"/>
    <mergeCell ref="AV27:AW27"/>
  </mergeCells>
  <phoneticPr fontId="2" type="noConversion"/>
  <hyperlinks>
    <hyperlink ref="F2" location="'M3'!A1" display="RETOUR MENU"/>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oleObjects>
    <mc:AlternateContent xmlns:mc="http://schemas.openxmlformats.org/markup-compatibility/2006">
      <mc:Choice Requires="x14">
        <oleObject progId="Equation.3" shapeId="1038" r:id="rId4">
          <objectPr defaultSize="0" autoPict="0" r:id="rId5">
            <anchor moveWithCells="1" sizeWithCells="1">
              <from>
                <xdr:col>6</xdr:col>
                <xdr:colOff>43132</xdr:colOff>
                <xdr:row>12</xdr:row>
                <xdr:rowOff>77638</xdr:rowOff>
              </from>
              <to>
                <xdr:col>7</xdr:col>
                <xdr:colOff>586596</xdr:colOff>
                <xdr:row>15</xdr:row>
                <xdr:rowOff>86264</xdr:rowOff>
              </to>
            </anchor>
          </objectPr>
        </oleObject>
      </mc:Choice>
      <mc:Fallback>
        <oleObject progId="Equation.3" shapeId="1038" r:id="rId4"/>
      </mc:Fallback>
    </mc:AlternateContent>
  </oleObjects>
  <mc:AlternateContent xmlns:mc="http://schemas.openxmlformats.org/markup-compatibility/2006">
    <mc:Choice Requires="x14">
      <controls>
        <mc:AlternateContent xmlns:mc="http://schemas.openxmlformats.org/markup-compatibility/2006">
          <mc:Choice Requires="x14">
            <control shapeId="1035" r:id="rId6" name="Drop Down 11">
              <controlPr defaultSize="0" autoLine="0" autoPict="0">
                <anchor moveWithCells="1">
                  <from>
                    <xdr:col>3</xdr:col>
                    <xdr:colOff>0</xdr:colOff>
                    <xdr:row>1</xdr:row>
                    <xdr:rowOff>8626</xdr:rowOff>
                  </from>
                  <to>
                    <xdr:col>4</xdr:col>
                    <xdr:colOff>1431985</xdr:colOff>
                    <xdr:row>2</xdr:row>
                    <xdr:rowOff>8626</xdr:rowOff>
                  </to>
                </anchor>
              </controlPr>
            </control>
          </mc:Choice>
        </mc:AlternateContent>
        <mc:AlternateContent xmlns:mc="http://schemas.openxmlformats.org/markup-compatibility/2006">
          <mc:Choice Requires="x14">
            <control shapeId="1036" r:id="rId7" name="Drop Down 12">
              <controlPr defaultSize="0" autoLine="0" autoPict="0">
                <anchor moveWithCells="1">
                  <from>
                    <xdr:col>3</xdr:col>
                    <xdr:colOff>0</xdr:colOff>
                    <xdr:row>2</xdr:row>
                    <xdr:rowOff>0</xdr:rowOff>
                  </from>
                  <to>
                    <xdr:col>4</xdr:col>
                    <xdr:colOff>1431985</xdr:colOff>
                    <xdr:row>3</xdr:row>
                    <xdr:rowOff>8626</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dimension ref="A1:Z30"/>
  <sheetViews>
    <sheetView workbookViewId="0">
      <selection activeCell="F2" sqref="F2"/>
    </sheetView>
  </sheetViews>
  <sheetFormatPr baseColWidth="10" defaultRowHeight="12.9"/>
  <cols>
    <col min="1" max="1" width="10" customWidth="1"/>
    <col min="2" max="2" width="38" customWidth="1"/>
    <col min="3" max="3" width="16.25" customWidth="1"/>
    <col min="4" max="4" width="16.75" customWidth="1"/>
    <col min="5" max="5" width="19.625" customWidth="1"/>
    <col min="6" max="6" width="16" customWidth="1"/>
    <col min="7" max="7" width="13" customWidth="1"/>
    <col min="23" max="24" width="8.875" customWidth="1"/>
    <col min="25" max="25" width="11.25" customWidth="1"/>
  </cols>
  <sheetData>
    <row r="1" spans="1:26" ht="14.95" customHeight="1" thickBot="1">
      <c r="A1" s="1497" t="s">
        <v>52</v>
      </c>
      <c r="B1" s="1498"/>
      <c r="C1" s="1498"/>
      <c r="D1" s="1498"/>
      <c r="E1" s="1499"/>
    </row>
    <row r="2" spans="1:26" ht="17.350000000000001" customHeight="1" thickBot="1">
      <c r="A2" s="1504" t="s">
        <v>973</v>
      </c>
      <c r="B2" s="132" t="s">
        <v>999</v>
      </c>
      <c r="C2" s="133" t="s">
        <v>1000</v>
      </c>
      <c r="D2" s="484" t="s">
        <v>991</v>
      </c>
      <c r="E2" s="134" t="s">
        <v>47</v>
      </c>
      <c r="F2" s="127" t="s">
        <v>1142</v>
      </c>
    </row>
    <row r="3" spans="1:26" ht="17.350000000000001" customHeight="1">
      <c r="A3" s="1505"/>
      <c r="B3" s="17" t="s">
        <v>44</v>
      </c>
      <c r="C3" s="30" t="s">
        <v>45</v>
      </c>
      <c r="D3" s="495" t="s">
        <v>1218</v>
      </c>
      <c r="E3" s="34" t="s">
        <v>46</v>
      </c>
      <c r="F3" s="135"/>
    </row>
    <row r="4" spans="1:26" ht="14.95" customHeight="1">
      <c r="A4" s="1506"/>
      <c r="B4" s="3" t="s">
        <v>1018</v>
      </c>
      <c r="C4" s="31" t="s">
        <v>1016</v>
      </c>
      <c r="D4" s="493">
        <v>340</v>
      </c>
      <c r="E4" s="35" t="s">
        <v>968</v>
      </c>
    </row>
    <row r="5" spans="1:26" ht="14.95" customHeight="1">
      <c r="A5" s="1506"/>
      <c r="B5" s="3" t="s">
        <v>48</v>
      </c>
      <c r="C5" s="31" t="s">
        <v>1017</v>
      </c>
      <c r="D5" s="493">
        <v>500</v>
      </c>
      <c r="E5" s="35" t="s">
        <v>968</v>
      </c>
    </row>
    <row r="6" spans="1:26" ht="14.95" customHeight="1">
      <c r="A6" s="1506"/>
      <c r="B6" s="3" t="s">
        <v>49</v>
      </c>
      <c r="C6" s="32" t="s">
        <v>953</v>
      </c>
      <c r="D6" s="493">
        <v>9</v>
      </c>
      <c r="E6" s="35" t="s">
        <v>969</v>
      </c>
    </row>
    <row r="7" spans="1:26" ht="14.95" customHeight="1">
      <c r="A7" s="1506"/>
      <c r="B7" s="3" t="s">
        <v>946</v>
      </c>
      <c r="C7" s="32" t="s">
        <v>952</v>
      </c>
      <c r="D7" s="493">
        <v>145</v>
      </c>
      <c r="E7" s="35" t="s">
        <v>969</v>
      </c>
    </row>
    <row r="8" spans="1:26" ht="14.95" customHeight="1">
      <c r="A8" s="1506"/>
      <c r="B8" s="3" t="s">
        <v>959</v>
      </c>
      <c r="C8" s="33" t="s">
        <v>958</v>
      </c>
      <c r="D8" s="493">
        <v>90</v>
      </c>
      <c r="E8" s="35" t="s">
        <v>970</v>
      </c>
    </row>
    <row r="9" spans="1:26" ht="14.95" customHeight="1">
      <c r="A9" s="1506"/>
      <c r="B9" s="3" t="s">
        <v>949</v>
      </c>
      <c r="C9" s="32" t="s">
        <v>954</v>
      </c>
      <c r="D9" s="1164">
        <v>1.5</v>
      </c>
      <c r="E9" s="35" t="s">
        <v>969</v>
      </c>
    </row>
    <row r="10" spans="1:26" ht="14.95" customHeight="1">
      <c r="A10" s="1506"/>
      <c r="B10" s="3" t="s">
        <v>1024</v>
      </c>
      <c r="C10" s="32" t="s">
        <v>1025</v>
      </c>
      <c r="D10" s="488">
        <v>1.1000000000000001</v>
      </c>
      <c r="E10" s="35"/>
    </row>
    <row r="11" spans="1:26" ht="14.95" customHeight="1" thickBot="1">
      <c r="A11" s="1507"/>
      <c r="B11" s="3" t="s">
        <v>950</v>
      </c>
      <c r="C11" s="32" t="s">
        <v>955</v>
      </c>
      <c r="D11" s="494">
        <v>800</v>
      </c>
      <c r="E11" s="35" t="s">
        <v>971</v>
      </c>
      <c r="F11" s="2" t="s">
        <v>989</v>
      </c>
    </row>
    <row r="12" spans="1:26" ht="14.95" customHeight="1">
      <c r="A12" s="18"/>
      <c r="B12" s="5" t="s">
        <v>50</v>
      </c>
      <c r="C12" s="6" t="s">
        <v>964</v>
      </c>
      <c r="D12" s="36">
        <f>X20</f>
        <v>60.836434189320585</v>
      </c>
      <c r="E12" s="19" t="s">
        <v>971</v>
      </c>
    </row>
    <row r="13" spans="1:26" ht="14.95" customHeight="1">
      <c r="A13" s="18"/>
      <c r="B13" s="5" t="s">
        <v>948</v>
      </c>
      <c r="C13" s="6" t="s">
        <v>965</v>
      </c>
      <c r="D13" s="13">
        <f>X21</f>
        <v>20.008597449908926</v>
      </c>
      <c r="E13" s="19" t="s">
        <v>971</v>
      </c>
      <c r="W13" s="11" t="s">
        <v>990</v>
      </c>
      <c r="X13" s="1">
        <f>IF(D2="R",(1.35+(0.015*D9)),IF(D2="F",(0.9+(0.015*D9)),1))</f>
        <v>1.3725000000000001</v>
      </c>
    </row>
    <row r="14" spans="1:26" ht="14.95" customHeight="1">
      <c r="A14" s="18"/>
      <c r="B14" s="5" t="s">
        <v>960</v>
      </c>
      <c r="C14" s="7" t="s">
        <v>961</v>
      </c>
      <c r="D14" s="16">
        <f>D13/D12</f>
        <v>0.3288916866436149</v>
      </c>
      <c r="E14" s="20"/>
      <c r="Y14" s="1" t="s">
        <v>995</v>
      </c>
      <c r="Z14" s="1" t="s">
        <v>994</v>
      </c>
    </row>
    <row r="15" spans="1:26" ht="14.95" customHeight="1">
      <c r="A15" s="18"/>
      <c r="B15" s="5" t="s">
        <v>962</v>
      </c>
      <c r="C15" s="8" t="s">
        <v>963</v>
      </c>
      <c r="D15" s="13">
        <f>0.3*D11*D9^2.6</f>
        <v>688.72923033792699</v>
      </c>
      <c r="E15" s="19" t="s">
        <v>972</v>
      </c>
      <c r="W15" s="12" t="s">
        <v>992</v>
      </c>
      <c r="X15">
        <v>0</v>
      </c>
      <c r="Y15" s="15">
        <f>SIN(X15)^2</f>
        <v>0</v>
      </c>
      <c r="Z15" s="15">
        <f>COS(X15)^2</f>
        <v>1</v>
      </c>
    </row>
    <row r="16" spans="1:26" ht="14.95" customHeight="1">
      <c r="A16" s="1495" t="s">
        <v>326</v>
      </c>
      <c r="B16" s="9" t="s">
        <v>981</v>
      </c>
      <c r="C16" s="10" t="s">
        <v>951</v>
      </c>
      <c r="D16" s="14">
        <f>D12*D9*D6</f>
        <v>821.29186155582784</v>
      </c>
      <c r="E16" s="21" t="s">
        <v>980</v>
      </c>
      <c r="F16" s="538"/>
      <c r="W16" s="12" t="s">
        <v>993</v>
      </c>
      <c r="X16">
        <f>D8/360*2*PI()</f>
        <v>1.5707963267948966</v>
      </c>
      <c r="Y16" s="15">
        <f>SIN(X16)^2</f>
        <v>1</v>
      </c>
      <c r="Z16" s="15">
        <f>COS(X16)^2</f>
        <v>3.7524718414124473E-33</v>
      </c>
    </row>
    <row r="17" spans="1:26" ht="14.95" customHeight="1">
      <c r="A17" s="1495"/>
      <c r="B17" s="9" t="s">
        <v>981</v>
      </c>
      <c r="C17" s="10" t="s">
        <v>961</v>
      </c>
      <c r="D17" s="14">
        <f>D13*D7*D9</f>
        <v>4351.8699453551917</v>
      </c>
      <c r="E17" s="21" t="s">
        <v>980</v>
      </c>
      <c r="F17" s="1084"/>
      <c r="W17" s="1" t="s">
        <v>1014</v>
      </c>
      <c r="X17">
        <f>0.082*(1-0.01*D9)*D4*X18</f>
        <v>27.461800000000004</v>
      </c>
    </row>
    <row r="18" spans="1:26" ht="14.95" customHeight="1">
      <c r="A18" s="1495"/>
      <c r="B18" s="9" t="s">
        <v>981</v>
      </c>
      <c r="C18" s="10" t="s">
        <v>974</v>
      </c>
      <c r="D18" s="14">
        <f>(D16/(1+D14))*X26</f>
        <v>1671.2450081070122</v>
      </c>
      <c r="E18" s="21" t="s">
        <v>980</v>
      </c>
      <c r="W18" s="1" t="s">
        <v>1002</v>
      </c>
      <c r="X18">
        <v>1</v>
      </c>
    </row>
    <row r="19" spans="1:26" ht="14.95" customHeight="1">
      <c r="A19" s="1495"/>
      <c r="B19" s="9" t="s">
        <v>985</v>
      </c>
      <c r="C19" s="10" t="s">
        <v>954</v>
      </c>
      <c r="D19" s="14">
        <f>1.05*(D12*D9*D6)/(2+D14)*X27</f>
        <v>276.95754726946456</v>
      </c>
      <c r="E19" s="21" t="s">
        <v>980</v>
      </c>
      <c r="F19" s="1500" t="s">
        <v>323</v>
      </c>
      <c r="G19" s="1501"/>
      <c r="W19" s="1" t="s">
        <v>1019</v>
      </c>
      <c r="X19">
        <f>0.11*(1-0.01*D9)*D5*X18</f>
        <v>54.175000000000004</v>
      </c>
      <c r="Y19" s="1" t="s">
        <v>51</v>
      </c>
      <c r="Z19">
        <f>50*D9^(-0.6)*D6^(0.2)</f>
        <v>60.836434189320585</v>
      </c>
    </row>
    <row r="20" spans="1:26" ht="14.95" customHeight="1">
      <c r="A20" s="1495"/>
      <c r="B20" s="9" t="s">
        <v>985</v>
      </c>
      <c r="C20" s="10" t="s">
        <v>975</v>
      </c>
      <c r="D20" s="14">
        <f>(1.05*(D12*D7*D9)/(2+D14))*X28</f>
        <v>2216.9264077260405</v>
      </c>
      <c r="E20" s="21" t="s">
        <v>980</v>
      </c>
      <c r="F20" s="1085" t="s">
        <v>325</v>
      </c>
      <c r="G20" s="46" t="s">
        <v>1056</v>
      </c>
      <c r="W20" s="1" t="s">
        <v>997</v>
      </c>
      <c r="X20">
        <f>IF((D3="O"),Z19,X19)</f>
        <v>60.836434189320585</v>
      </c>
    </row>
    <row r="21" spans="1:26" ht="14.95" customHeight="1">
      <c r="A21" s="1495"/>
      <c r="B21" s="9" t="s">
        <v>986</v>
      </c>
      <c r="C21" s="10" t="s">
        <v>976</v>
      </c>
      <c r="D21" s="14">
        <f>1.15*X29*X30</f>
        <v>286.85422726339385</v>
      </c>
      <c r="E21" s="21" t="s">
        <v>980</v>
      </c>
      <c r="F21" s="1089">
        <f>MIN(D16:D21)</f>
        <v>276.95754726946456</v>
      </c>
      <c r="G21" s="1088">
        <f>F21/1.3*$D$10</f>
        <v>234.34869384339311</v>
      </c>
      <c r="W21" s="1" t="s">
        <v>998</v>
      </c>
      <c r="X21">
        <f>X17/((X13*Y16)+Z16)</f>
        <v>20.008597449908926</v>
      </c>
    </row>
    <row r="22" spans="1:26" ht="14.95" customHeight="1">
      <c r="A22" s="1495"/>
      <c r="B22" s="22" t="s">
        <v>984</v>
      </c>
      <c r="C22" s="23" t="s">
        <v>977</v>
      </c>
      <c r="D22" s="24">
        <f>D16</f>
        <v>821.29186155582784</v>
      </c>
      <c r="E22" s="25" t="s">
        <v>980</v>
      </c>
      <c r="F22" s="1112" t="s">
        <v>1100</v>
      </c>
      <c r="G22" s="1107"/>
    </row>
    <row r="23" spans="1:26" ht="14.95" customHeight="1">
      <c r="A23" s="1495"/>
      <c r="B23" s="22" t="s">
        <v>984</v>
      </c>
      <c r="C23" s="23" t="s">
        <v>978</v>
      </c>
      <c r="D23" s="24">
        <f>D17</f>
        <v>4351.8699453551917</v>
      </c>
      <c r="E23" s="25" t="s">
        <v>980</v>
      </c>
      <c r="F23" s="1502" t="s">
        <v>324</v>
      </c>
      <c r="G23" s="1503"/>
      <c r="W23" s="1" t="s">
        <v>1003</v>
      </c>
      <c r="X23">
        <f>D7/D6</f>
        <v>16.111111111111111</v>
      </c>
    </row>
    <row r="24" spans="1:26" ht="14.95" customHeight="1">
      <c r="A24" s="1495"/>
      <c r="B24" s="22" t="s">
        <v>987</v>
      </c>
      <c r="C24" s="23" t="s">
        <v>982</v>
      </c>
      <c r="D24" s="24">
        <f>D19</f>
        <v>276.95754726946456</v>
      </c>
      <c r="E24" s="25" t="s">
        <v>980</v>
      </c>
      <c r="F24" s="1086" t="s">
        <v>325</v>
      </c>
      <c r="G24" s="278" t="s">
        <v>1056</v>
      </c>
      <c r="W24" s="1" t="s">
        <v>1004</v>
      </c>
      <c r="X24">
        <f>X23^2</f>
        <v>259.5679012345679</v>
      </c>
    </row>
    <row r="25" spans="1:26" ht="14.95" customHeight="1" thickBot="1">
      <c r="A25" s="1496"/>
      <c r="B25" s="26" t="s">
        <v>988</v>
      </c>
      <c r="C25" s="27" t="s">
        <v>983</v>
      </c>
      <c r="D25" s="28">
        <f>D21</f>
        <v>286.85422726339385</v>
      </c>
      <c r="E25" s="29" t="s">
        <v>980</v>
      </c>
      <c r="F25" s="1087">
        <f>MIN(D22:D25)</f>
        <v>276.95754726946456</v>
      </c>
      <c r="G25" s="1090">
        <f>F25/1.3*$D$10</f>
        <v>234.34869384339311</v>
      </c>
    </row>
    <row r="26" spans="1:26">
      <c r="W26" s="1" t="s">
        <v>1006</v>
      </c>
      <c r="X26">
        <f>((D14+((2*(D14^2))*(1+X23+X24)+(D14^3)*X24))^0.5)-(D14*(1+X23))</f>
        <v>2.7041587790859678</v>
      </c>
    </row>
    <row r="27" spans="1:26">
      <c r="W27" s="1" t="s">
        <v>1007</v>
      </c>
      <c r="X27">
        <f>((2*D14*(1+D14)+(4*D14*(2+D14)*D15)/(D12*D9*D6^2))^0.5)-D14</f>
        <v>0.74795535642288247</v>
      </c>
    </row>
    <row r="28" spans="1:26">
      <c r="W28" s="1" t="s">
        <v>1008</v>
      </c>
      <c r="X28">
        <f>((2*D14^2*(1+D14)+(4*D14*(2*D14+1)*D15)/(D12*D9*D6^2))^0.5)-D14</f>
        <v>0.37161073913156428</v>
      </c>
    </row>
    <row r="29" spans="1:26">
      <c r="W29" s="1" t="s">
        <v>1009</v>
      </c>
      <c r="X29">
        <f>(2*D14/(1+D14))^0.5</f>
        <v>0.70355273160432952</v>
      </c>
    </row>
    <row r="30" spans="1:26">
      <c r="W30" s="1" t="s">
        <v>1010</v>
      </c>
      <c r="X30">
        <f>(2*D15*D12*D9)^0.5</f>
        <v>354.54124088340433</v>
      </c>
    </row>
  </sheetData>
  <mergeCells count="5">
    <mergeCell ref="A1:E1"/>
    <mergeCell ref="A2:A11"/>
    <mergeCell ref="A16:A25"/>
    <mergeCell ref="F19:G19"/>
    <mergeCell ref="F23:G23"/>
  </mergeCells>
  <phoneticPr fontId="2" type="noConversion"/>
  <hyperlinks>
    <hyperlink ref="F2" location="'M3'!A1" display="RETOUR MENU"/>
  </hyperlinks>
  <pageMargins left="0.78740157499999996" right="0.78740157499999996" top="0.984251969" bottom="0.984251969" header="0.4921259845" footer="0.4921259845"/>
  <headerFooter alignWithMargins="0"/>
  <drawing r:id="rId1"/>
  <legacyDrawing r:id="rId2"/>
  <oleObjects>
    <mc:AlternateContent xmlns:mc="http://schemas.openxmlformats.org/markup-compatibility/2006">
      <mc:Choice Requires="x14">
        <oleObject progId="Equation.3" shapeId="2056" r:id="rId3">
          <objectPr defaultSize="0" autoPict="0" r:id="rId4">
            <anchor moveWithCells="1" sizeWithCells="1">
              <from>
                <xdr:col>5</xdr:col>
                <xdr:colOff>698740</xdr:colOff>
                <xdr:row>13</xdr:row>
                <xdr:rowOff>86264</xdr:rowOff>
              </from>
              <to>
                <xdr:col>7</xdr:col>
                <xdr:colOff>284672</xdr:colOff>
                <xdr:row>16</xdr:row>
                <xdr:rowOff>120770</xdr:rowOff>
              </to>
            </anchor>
          </objectPr>
        </oleObject>
      </mc:Choice>
      <mc:Fallback>
        <oleObject progId="Equation.3" shapeId="2056" r:id="rId3"/>
      </mc:Fallback>
    </mc:AlternateContent>
  </oleObjec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6"/>
  <dimension ref="A1:Z41"/>
  <sheetViews>
    <sheetView workbookViewId="0">
      <selection activeCell="B24" sqref="B24"/>
    </sheetView>
  </sheetViews>
  <sheetFormatPr baseColWidth="10" defaultRowHeight="12.9"/>
  <cols>
    <col min="1" max="1" width="11.75" customWidth="1"/>
    <col min="2" max="2" width="42" customWidth="1"/>
    <col min="3" max="3" width="19.125" customWidth="1"/>
    <col min="4" max="4" width="18.75" customWidth="1"/>
    <col min="5" max="5" width="21.125" customWidth="1"/>
    <col min="6" max="6" width="30.875" customWidth="1"/>
    <col min="22" max="22" width="9.375" customWidth="1"/>
    <col min="23" max="23" width="10.875" customWidth="1"/>
    <col min="24" max="24" width="8.875" customWidth="1"/>
    <col min="25" max="25" width="11.25" customWidth="1"/>
  </cols>
  <sheetData>
    <row r="1" spans="1:6" ht="24.8" customHeight="1" thickBot="1">
      <c r="A1" s="1508" t="s">
        <v>59</v>
      </c>
      <c r="B1" s="1509"/>
      <c r="C1" s="1509"/>
      <c r="D1" s="1510"/>
      <c r="E1" s="1511"/>
    </row>
    <row r="2" spans="1:6" ht="14.95" customHeight="1">
      <c r="A2" s="1512" t="s">
        <v>973</v>
      </c>
      <c r="B2" s="17" t="s">
        <v>1041</v>
      </c>
      <c r="C2" s="30" t="s">
        <v>1042</v>
      </c>
      <c r="D2" s="150" t="s">
        <v>991</v>
      </c>
      <c r="E2" s="34" t="s">
        <v>1043</v>
      </c>
    </row>
    <row r="3" spans="1:6" ht="14.95" customHeight="1">
      <c r="A3" s="1513"/>
      <c r="B3" s="3" t="s">
        <v>1044</v>
      </c>
      <c r="C3" s="31" t="s">
        <v>967</v>
      </c>
      <c r="D3" s="151">
        <v>380</v>
      </c>
      <c r="E3" s="35" t="s">
        <v>968</v>
      </c>
    </row>
    <row r="4" spans="1:6" ht="14.95" customHeight="1">
      <c r="A4" s="1513"/>
      <c r="B4" s="3" t="s">
        <v>929</v>
      </c>
      <c r="C4" s="32" t="s">
        <v>953</v>
      </c>
      <c r="D4" s="151">
        <v>180</v>
      </c>
      <c r="E4" s="35" t="s">
        <v>969</v>
      </c>
    </row>
    <row r="5" spans="1:6" ht="14.95" customHeight="1">
      <c r="A5" s="1513"/>
      <c r="B5" s="3" t="s">
        <v>1045</v>
      </c>
      <c r="C5" s="32" t="s">
        <v>1046</v>
      </c>
      <c r="D5" s="151">
        <v>10</v>
      </c>
      <c r="E5" s="35" t="s">
        <v>969</v>
      </c>
    </row>
    <row r="6" spans="1:6" ht="14.95" customHeight="1">
      <c r="A6" s="1513"/>
      <c r="B6" s="3" t="s">
        <v>956</v>
      </c>
      <c r="C6" s="33" t="s">
        <v>957</v>
      </c>
      <c r="D6" s="151">
        <v>0</v>
      </c>
      <c r="E6" s="35" t="s">
        <v>970</v>
      </c>
    </row>
    <row r="7" spans="1:6" ht="14.95" customHeight="1">
      <c r="A7" s="1513"/>
      <c r="B7" s="3" t="s">
        <v>949</v>
      </c>
      <c r="C7" s="32" t="s">
        <v>954</v>
      </c>
      <c r="D7" s="151">
        <v>16</v>
      </c>
      <c r="E7" s="35" t="s">
        <v>969</v>
      </c>
    </row>
    <row r="8" spans="1:6" ht="14.95" customHeight="1">
      <c r="A8" s="1513"/>
      <c r="B8" s="3" t="s">
        <v>1047</v>
      </c>
      <c r="C8" s="52" t="s">
        <v>1048</v>
      </c>
      <c r="D8" s="300">
        <v>1.1000000000000001</v>
      </c>
      <c r="E8" s="35"/>
    </row>
    <row r="9" spans="1:6" ht="14.95" customHeight="1" thickBot="1">
      <c r="A9" s="1513"/>
      <c r="B9" s="3" t="s">
        <v>950</v>
      </c>
      <c r="C9" s="32" t="s">
        <v>955</v>
      </c>
      <c r="D9" s="153">
        <v>600</v>
      </c>
      <c r="E9" s="35" t="s">
        <v>971</v>
      </c>
      <c r="F9" s="2" t="s">
        <v>989</v>
      </c>
    </row>
    <row r="10" spans="1:6" ht="14.95" customHeight="1">
      <c r="A10" s="18"/>
      <c r="B10" s="5" t="s">
        <v>947</v>
      </c>
      <c r="C10" s="6" t="s">
        <v>964</v>
      </c>
      <c r="D10" s="241">
        <f>X31</f>
        <v>26.174399999999999</v>
      </c>
      <c r="E10" s="19" t="s">
        <v>971</v>
      </c>
    </row>
    <row r="11" spans="1:6" ht="14.95" customHeight="1">
      <c r="A11" s="18"/>
      <c r="B11" s="5" t="s">
        <v>1049</v>
      </c>
      <c r="C11" s="6" t="s">
        <v>1050</v>
      </c>
      <c r="D11" s="16">
        <f>D5/D7</f>
        <v>0.625</v>
      </c>
      <c r="E11" s="19" t="s">
        <v>971</v>
      </c>
    </row>
    <row r="12" spans="1:6" ht="14.95" customHeight="1">
      <c r="A12" s="18"/>
      <c r="B12" s="5" t="s">
        <v>962</v>
      </c>
      <c r="C12" s="8" t="s">
        <v>963</v>
      </c>
      <c r="D12" s="13">
        <f>0.3*D9*D7^2.6</f>
        <v>243211.69811365986</v>
      </c>
      <c r="E12" s="19" t="s">
        <v>972</v>
      </c>
    </row>
    <row r="13" spans="1:6" ht="14.95" customHeight="1">
      <c r="A13" s="1514" t="s">
        <v>979</v>
      </c>
      <c r="B13" s="53" t="s">
        <v>1051</v>
      </c>
      <c r="C13" s="23" t="s">
        <v>951</v>
      </c>
      <c r="D13" s="24">
        <f>((0.4)*X31*D4*D7)</f>
        <v>30152.908800000001</v>
      </c>
      <c r="E13" s="21" t="s">
        <v>980</v>
      </c>
    </row>
    <row r="14" spans="1:6" ht="14.95" customHeight="1">
      <c r="A14" s="1515"/>
      <c r="B14" s="53" t="s">
        <v>1052</v>
      </c>
      <c r="C14" s="23" t="s">
        <v>961</v>
      </c>
      <c r="D14" s="24">
        <f>((1.15*(2*D12*X31*D7)^0.5))</f>
        <v>16413.584187288692</v>
      </c>
      <c r="E14" s="21" t="s">
        <v>980</v>
      </c>
    </row>
    <row r="15" spans="1:6" ht="14.95" customHeight="1">
      <c r="A15" s="1515"/>
      <c r="B15" s="53" t="s">
        <v>1053</v>
      </c>
      <c r="C15" s="23" t="s">
        <v>974</v>
      </c>
      <c r="D15" s="24">
        <f>(D10*D4*D7*X36)</f>
        <v>33118.385883326977</v>
      </c>
      <c r="E15" s="21" t="s">
        <v>980</v>
      </c>
    </row>
    <row r="16" spans="1:6" ht="14.95" customHeight="1">
      <c r="A16" s="1515"/>
      <c r="B16" s="235" t="s">
        <v>1054</v>
      </c>
      <c r="C16" s="136" t="s">
        <v>954</v>
      </c>
      <c r="D16" s="24">
        <f>((2.3*(D12*X31*D7)^0.5))</f>
        <v>23212.313364816244</v>
      </c>
      <c r="E16" s="21" t="s">
        <v>980</v>
      </c>
    </row>
    <row r="17" spans="1:26" ht="14.95" customHeight="1">
      <c r="A17" s="1515"/>
      <c r="B17" s="235" t="s">
        <v>1072</v>
      </c>
      <c r="C17" s="136" t="s">
        <v>975</v>
      </c>
      <c r="D17" s="54">
        <f>D10*D4*D7*D8</f>
        <v>82920.499200000006</v>
      </c>
      <c r="E17" s="21" t="s">
        <v>980</v>
      </c>
    </row>
    <row r="18" spans="1:26" ht="14.95" customHeight="1" thickBot="1">
      <c r="A18" s="1515"/>
      <c r="B18" s="53" t="s">
        <v>35</v>
      </c>
      <c r="C18" s="23"/>
      <c r="D18" s="54">
        <f>X41</f>
        <v>18113.26648167058</v>
      </c>
      <c r="E18" s="21" t="s">
        <v>980</v>
      </c>
    </row>
    <row r="19" spans="1:26" ht="25.5" customHeight="1" thickBot="1">
      <c r="A19" s="1515"/>
      <c r="B19" s="236" t="s">
        <v>327</v>
      </c>
      <c r="C19" s="237" t="s">
        <v>1056</v>
      </c>
      <c r="D19" s="57">
        <f>IF(D11&lt;0.5,X38,(IF(D11&gt;1,X39,X41)))</f>
        <v>18113.26648167058</v>
      </c>
      <c r="E19" s="58" t="s">
        <v>980</v>
      </c>
    </row>
    <row r="20" spans="1:26" ht="25.5" customHeight="1" thickBot="1">
      <c r="A20" s="1516"/>
      <c r="B20" s="236" t="s">
        <v>1055</v>
      </c>
      <c r="C20" s="237" t="s">
        <v>1056</v>
      </c>
      <c r="D20" s="57">
        <f>D19/1.3*D8</f>
        <v>15326.610099875108</v>
      </c>
      <c r="E20" s="58" t="s">
        <v>980</v>
      </c>
    </row>
    <row r="21" spans="1:26" ht="12.1" customHeight="1"/>
    <row r="22" spans="1:26" ht="12.75" customHeight="1">
      <c r="A22" s="59" t="s">
        <v>1057</v>
      </c>
      <c r="B22" s="60" t="s">
        <v>1058</v>
      </c>
      <c r="D22" s="61"/>
    </row>
    <row r="23" spans="1:26" ht="13.6" thickBot="1"/>
    <row r="24" spans="1:26" ht="13.6" thickBot="1">
      <c r="B24" s="116" t="s">
        <v>1142</v>
      </c>
      <c r="W24" s="11" t="s">
        <v>990</v>
      </c>
      <c r="X24" s="1">
        <f>IF(D2="R",(1.35+(0.015*D7)),IF(D2="F",(0.9+(0.015*D7)),1))</f>
        <v>1.59</v>
      </c>
    </row>
    <row r="25" spans="1:26">
      <c r="Y25" s="1" t="s">
        <v>995</v>
      </c>
      <c r="Z25" s="1" t="s">
        <v>994</v>
      </c>
    </row>
    <row r="26" spans="1:26" ht="13.6">
      <c r="W26" s="12" t="s">
        <v>992</v>
      </c>
      <c r="X26">
        <f>D6/360*2*PI()</f>
        <v>0</v>
      </c>
      <c r="Y26" s="15">
        <f>SIN(X26)^2</f>
        <v>0</v>
      </c>
      <c r="Z26" s="15">
        <f>COS(X26)^2</f>
        <v>1</v>
      </c>
    </row>
    <row r="27" spans="1:26" ht="13.6">
      <c r="W27" s="12"/>
      <c r="Y27" s="15"/>
      <c r="Z27" s="15"/>
    </row>
    <row r="28" spans="1:26">
      <c r="W28" s="1" t="s">
        <v>996</v>
      </c>
      <c r="X28">
        <f>IF(D2="C",(0.11*(1-0.01*D7)*X29*D3),0.082*(1-0.01*D7)*D3*Y29)</f>
        <v>26.174399999999999</v>
      </c>
    </row>
    <row r="29" spans="1:26">
      <c r="W29" s="1" t="s">
        <v>1002</v>
      </c>
      <c r="X29">
        <v>1</v>
      </c>
      <c r="Y29">
        <f>IF(X29&gt;1,1,X29)</f>
        <v>1</v>
      </c>
    </row>
    <row r="30" spans="1:26">
      <c r="W30" s="1"/>
    </row>
    <row r="31" spans="1:26">
      <c r="W31" s="1" t="s">
        <v>997</v>
      </c>
      <c r="X31">
        <f>X28/((X24*Y26)+Z26)</f>
        <v>26.174399999999999</v>
      </c>
    </row>
    <row r="32" spans="1:26">
      <c r="W32" s="1" t="s">
        <v>998</v>
      </c>
    </row>
    <row r="34" spans="23:24">
      <c r="W34" s="1"/>
    </row>
    <row r="35" spans="23:24">
      <c r="W35" s="1"/>
    </row>
    <row r="36" spans="23:24">
      <c r="W36" s="1" t="s">
        <v>1006</v>
      </c>
      <c r="X36">
        <f>((2+((4*D12)/(D10*D7*D4^2)))^0.5)-1</f>
        <v>0.43933918419607965</v>
      </c>
    </row>
    <row r="37" spans="23:24">
      <c r="W37" s="1" t="s">
        <v>1007</v>
      </c>
    </row>
    <row r="38" spans="23:24">
      <c r="W38" s="1" t="s">
        <v>1059</v>
      </c>
      <c r="X38" s="61">
        <f>MIN(D13:D14)</f>
        <v>16413.584187288692</v>
      </c>
    </row>
    <row r="39" spans="23:24">
      <c r="W39" s="1" t="s">
        <v>1060</v>
      </c>
      <c r="X39" s="61">
        <f>MIN(D15:D16)</f>
        <v>23212.313364816244</v>
      </c>
    </row>
    <row r="40" spans="23:24">
      <c r="W40" s="1" t="s">
        <v>1061</v>
      </c>
      <c r="X40" s="61">
        <f>X39-X38</f>
        <v>6798.7291775275517</v>
      </c>
    </row>
    <row r="41" spans="23:24">
      <c r="W41" s="1" t="s">
        <v>1062</v>
      </c>
      <c r="X41">
        <f>X40*((D11-0.5)/0.5)+X38</f>
        <v>18113.26648167058</v>
      </c>
    </row>
  </sheetData>
  <mergeCells count="3">
    <mergeCell ref="A1:E1"/>
    <mergeCell ref="A2:A9"/>
    <mergeCell ref="A13:A20"/>
  </mergeCells>
  <phoneticPr fontId="2" type="noConversion"/>
  <hyperlinks>
    <hyperlink ref="B24" location="'M3'!A1" display="RETOUR MENU"/>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oleObjects>
    <mc:AlternateContent xmlns:mc="http://schemas.openxmlformats.org/markup-compatibility/2006">
      <mc:Choice Requires="x14">
        <oleObject progId="Equation.3" shapeId="6151" r:id="rId4">
          <objectPr defaultSize="0" autoPict="0" r:id="rId5">
            <anchor moveWithCells="1" sizeWithCells="1">
              <from>
                <xdr:col>3</xdr:col>
                <xdr:colOff>17253</xdr:colOff>
                <xdr:row>21</xdr:row>
                <xdr:rowOff>17253</xdr:rowOff>
              </from>
              <to>
                <xdr:col>4</xdr:col>
                <xdr:colOff>310551</xdr:colOff>
                <xdr:row>24</xdr:row>
                <xdr:rowOff>60385</xdr:rowOff>
              </to>
            </anchor>
          </objectPr>
        </oleObject>
      </mc:Choice>
      <mc:Fallback>
        <oleObject progId="Equation.3" shapeId="6151" r:id="rId4"/>
      </mc:Fallback>
    </mc:AlternateContent>
  </oleObjec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7"/>
  <dimension ref="A1:Z27"/>
  <sheetViews>
    <sheetView workbookViewId="0">
      <selection activeCell="B20" sqref="B20"/>
    </sheetView>
  </sheetViews>
  <sheetFormatPr baseColWidth="10" defaultRowHeight="12.9"/>
  <cols>
    <col min="1" max="1" width="14.625" customWidth="1"/>
    <col min="2" max="2" width="42.625" customWidth="1"/>
    <col min="3" max="3" width="17.875" customWidth="1"/>
    <col min="4" max="4" width="19" customWidth="1"/>
    <col min="5" max="5" width="22.75" customWidth="1"/>
    <col min="6" max="6" width="30.875" customWidth="1"/>
    <col min="22" max="22" width="9.375" customWidth="1"/>
    <col min="23" max="23" width="10.875" customWidth="1"/>
    <col min="24" max="24" width="8.875" customWidth="1"/>
    <col min="25" max="25" width="11.25" customWidth="1"/>
  </cols>
  <sheetData>
    <row r="1" spans="1:26" ht="24.8" customHeight="1" thickBot="1">
      <c r="A1" s="1508" t="s">
        <v>60</v>
      </c>
      <c r="B1" s="1509"/>
      <c r="C1" s="1509"/>
      <c r="D1" s="1509"/>
      <c r="E1" s="1511"/>
    </row>
    <row r="2" spans="1:26" ht="14.95" customHeight="1">
      <c r="A2" s="1517" t="s">
        <v>973</v>
      </c>
      <c r="B2" s="17" t="s">
        <v>1041</v>
      </c>
      <c r="C2" s="30" t="s">
        <v>1042</v>
      </c>
      <c r="D2" s="150" t="s">
        <v>991</v>
      </c>
      <c r="E2" s="34" t="s">
        <v>1043</v>
      </c>
    </row>
    <row r="3" spans="1:26" ht="14.95" customHeight="1">
      <c r="A3" s="1518"/>
      <c r="B3" s="3" t="s">
        <v>1044</v>
      </c>
      <c r="C3" s="31" t="s">
        <v>967</v>
      </c>
      <c r="D3" s="151">
        <v>400</v>
      </c>
      <c r="E3" s="35" t="s">
        <v>968</v>
      </c>
    </row>
    <row r="4" spans="1:26" ht="14.95" customHeight="1">
      <c r="A4" s="1518"/>
      <c r="B4" s="3" t="s">
        <v>929</v>
      </c>
      <c r="C4" s="32" t="s">
        <v>953</v>
      </c>
      <c r="D4" s="151">
        <v>50</v>
      </c>
      <c r="E4" s="35" t="s">
        <v>969</v>
      </c>
    </row>
    <row r="5" spans="1:26" ht="14.95" customHeight="1">
      <c r="A5" s="1518"/>
      <c r="B5" s="3" t="s">
        <v>956</v>
      </c>
      <c r="C5" s="33" t="s">
        <v>957</v>
      </c>
      <c r="D5" s="151">
        <v>45</v>
      </c>
      <c r="E5" s="35" t="s">
        <v>970</v>
      </c>
    </row>
    <row r="6" spans="1:26" ht="14.95" customHeight="1">
      <c r="A6" s="1518"/>
      <c r="B6" s="3" t="s">
        <v>949</v>
      </c>
      <c r="C6" s="32" t="s">
        <v>954</v>
      </c>
      <c r="D6" s="151">
        <v>16</v>
      </c>
      <c r="E6" s="35" t="s">
        <v>969</v>
      </c>
    </row>
    <row r="7" spans="1:26" ht="14.95" customHeight="1">
      <c r="A7" s="1518"/>
      <c r="B7" s="3" t="s">
        <v>1047</v>
      </c>
      <c r="C7" s="52" t="s">
        <v>1048</v>
      </c>
      <c r="D7" s="300">
        <v>0.9</v>
      </c>
      <c r="E7" s="35"/>
    </row>
    <row r="8" spans="1:26" ht="14.95" customHeight="1" thickBot="1">
      <c r="A8" s="1518"/>
      <c r="B8" s="3" t="s">
        <v>950</v>
      </c>
      <c r="C8" s="32" t="s">
        <v>955</v>
      </c>
      <c r="D8" s="153">
        <v>600</v>
      </c>
      <c r="E8" s="35" t="s">
        <v>971</v>
      </c>
      <c r="F8" s="2" t="s">
        <v>989</v>
      </c>
    </row>
    <row r="9" spans="1:26" ht="14.95" customHeight="1">
      <c r="A9" s="18"/>
      <c r="B9" s="5" t="s">
        <v>947</v>
      </c>
      <c r="C9" s="6" t="s">
        <v>964</v>
      </c>
      <c r="D9" s="1160">
        <f>X17</f>
        <v>21.275675675675675</v>
      </c>
      <c r="E9" s="19" t="s">
        <v>971</v>
      </c>
    </row>
    <row r="10" spans="1:26" ht="14.95" customHeight="1">
      <c r="A10" s="18"/>
      <c r="B10" s="5" t="s">
        <v>962</v>
      </c>
      <c r="C10" s="8" t="s">
        <v>963</v>
      </c>
      <c r="D10" s="13">
        <f>0.3*D8*(D6^2.6)</f>
        <v>243211.69811365986</v>
      </c>
      <c r="E10" s="19" t="s">
        <v>972</v>
      </c>
    </row>
    <row r="11" spans="1:26" ht="14.95" customHeight="1">
      <c r="A11" s="1519" t="s">
        <v>979</v>
      </c>
      <c r="B11" s="53" t="s">
        <v>1063</v>
      </c>
      <c r="C11" s="23" t="s">
        <v>976</v>
      </c>
      <c r="D11" s="24">
        <f>D9*D4*D6</f>
        <v>17020.54054054054</v>
      </c>
      <c r="E11" s="21" t="s">
        <v>980</v>
      </c>
      <c r="W11" s="11" t="s">
        <v>990</v>
      </c>
      <c r="X11" s="1">
        <f>IF(D2="R",(1.35+(0.015*D6)),IF(D2="F",(0.9+(0.015*D6)),1))</f>
        <v>1.59</v>
      </c>
    </row>
    <row r="12" spans="1:26" ht="14.95" customHeight="1">
      <c r="A12" s="1520"/>
      <c r="B12" s="53" t="s">
        <v>1064</v>
      </c>
      <c r="C12" s="23" t="s">
        <v>977</v>
      </c>
      <c r="D12" s="24">
        <f>X17*D4*D6*X22</f>
        <v>13155.031798663706</v>
      </c>
      <c r="E12" s="21" t="s">
        <v>980</v>
      </c>
      <c r="Y12" s="1" t="s">
        <v>995</v>
      </c>
      <c r="Z12" s="1" t="s">
        <v>994</v>
      </c>
    </row>
    <row r="13" spans="1:26" ht="14.95" customHeight="1" thickBot="1">
      <c r="A13" s="1520"/>
      <c r="B13" s="53" t="s">
        <v>1065</v>
      </c>
      <c r="C13" s="23" t="s">
        <v>978</v>
      </c>
      <c r="D13" s="24">
        <f>2.3*X23</f>
        <v>20927.71141955693</v>
      </c>
      <c r="E13" s="21" t="s">
        <v>980</v>
      </c>
      <c r="W13" s="12" t="s">
        <v>992</v>
      </c>
      <c r="X13">
        <f>D5/360*2*PI()</f>
        <v>0.78539816339744828</v>
      </c>
      <c r="Y13" s="15">
        <f>SIN(X13)^2</f>
        <v>0.49999999999999989</v>
      </c>
      <c r="Z13" s="15">
        <f>COS(X13)^2</f>
        <v>0.50000000000000011</v>
      </c>
    </row>
    <row r="14" spans="1:26" ht="23.95" customHeight="1" thickBot="1">
      <c r="A14" s="1520"/>
      <c r="B14" s="55" t="s">
        <v>327</v>
      </c>
      <c r="C14" s="56" t="s">
        <v>1056</v>
      </c>
      <c r="D14" s="57">
        <f>MIN(D11:D13)</f>
        <v>13155.031798663706</v>
      </c>
      <c r="E14" s="58" t="s">
        <v>980</v>
      </c>
      <c r="W14" s="1" t="s">
        <v>996</v>
      </c>
      <c r="X14">
        <f>IF(D2="C",(0.11*(1-0.01*D6)*X15*D3),0.082*(1-0.01*D6)*D3*Y15)</f>
        <v>27.552</v>
      </c>
    </row>
    <row r="15" spans="1:26" ht="19.05" thickBot="1">
      <c r="A15" s="1516"/>
      <c r="B15" s="55" t="s">
        <v>1055</v>
      </c>
      <c r="C15" s="56" t="s">
        <v>1056</v>
      </c>
      <c r="D15" s="57">
        <f>D14/1.3*D7</f>
        <v>9107.3297067671811</v>
      </c>
      <c r="E15" s="58" t="s">
        <v>980</v>
      </c>
      <c r="W15" s="1" t="s">
        <v>1002</v>
      </c>
      <c r="X15">
        <v>1</v>
      </c>
      <c r="Y15">
        <f>IF(X15&gt;1,1,X15)</f>
        <v>1</v>
      </c>
    </row>
    <row r="16" spans="1:26">
      <c r="W16" s="1"/>
    </row>
    <row r="17" spans="1:24" ht="19.7">
      <c r="A17" s="59" t="s">
        <v>1057</v>
      </c>
      <c r="B17" s="60" t="s">
        <v>1058</v>
      </c>
      <c r="W17" s="1" t="s">
        <v>997</v>
      </c>
      <c r="X17">
        <f>X14/((X11*Y13)+Z13)</f>
        <v>21.275675675675675</v>
      </c>
    </row>
    <row r="18" spans="1:24">
      <c r="W18" s="1" t="s">
        <v>998</v>
      </c>
    </row>
    <row r="19" spans="1:24" ht="13.6" thickBot="1"/>
    <row r="20" spans="1:24" ht="13.6" thickBot="1">
      <c r="B20" s="116" t="s">
        <v>1142</v>
      </c>
      <c r="W20" s="1"/>
    </row>
    <row r="21" spans="1:24">
      <c r="W21" s="1"/>
    </row>
    <row r="22" spans="1:24">
      <c r="W22" s="1" t="s">
        <v>1008</v>
      </c>
      <c r="X22">
        <f>((2+((4*D10)/(D9*D6*D4^2)))^0.5)-1</f>
        <v>0.7728915405083796</v>
      </c>
    </row>
    <row r="23" spans="1:24">
      <c r="W23" s="1" t="s">
        <v>1009</v>
      </c>
      <c r="X23">
        <f>(D10*X17*D6)^0.5</f>
        <v>9099.0049650247529</v>
      </c>
    </row>
    <row r="24" spans="1:24">
      <c r="W24" s="1"/>
      <c r="X24" s="61"/>
    </row>
    <row r="25" spans="1:24">
      <c r="W25" s="1"/>
      <c r="X25" s="61"/>
    </row>
    <row r="26" spans="1:24">
      <c r="W26" s="1"/>
      <c r="X26" s="61"/>
    </row>
    <row r="27" spans="1:24">
      <c r="W27" s="1"/>
    </row>
  </sheetData>
  <mergeCells count="3">
    <mergeCell ref="A1:E1"/>
    <mergeCell ref="A2:A8"/>
    <mergeCell ref="A11:A15"/>
  </mergeCells>
  <phoneticPr fontId="2" type="noConversion"/>
  <hyperlinks>
    <hyperlink ref="B20" location="'M3'!A1" display="RETOUR MENU"/>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oleObjects>
    <mc:AlternateContent xmlns:mc="http://schemas.openxmlformats.org/markup-compatibility/2006">
      <mc:Choice Requires="x14">
        <oleObject progId="Equation.3" shapeId="5128" r:id="rId4">
          <objectPr defaultSize="0" autoPict="0" r:id="rId5">
            <anchor moveWithCells="1" sizeWithCells="1">
              <from>
                <xdr:col>4</xdr:col>
                <xdr:colOff>250166</xdr:colOff>
                <xdr:row>16</xdr:row>
                <xdr:rowOff>0</xdr:rowOff>
              </from>
              <to>
                <xdr:col>5</xdr:col>
                <xdr:colOff>267419</xdr:colOff>
                <xdr:row>19</xdr:row>
                <xdr:rowOff>51758</xdr:rowOff>
              </to>
            </anchor>
          </objectPr>
        </oleObject>
      </mc:Choice>
      <mc:Fallback>
        <oleObject progId="Equation.3" shapeId="5128" r:id="rId4"/>
      </mc:Fallback>
    </mc:AlternateContent>
  </oleObjec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8"/>
  <dimension ref="A1:Z26"/>
  <sheetViews>
    <sheetView workbookViewId="0">
      <selection activeCell="B23" sqref="B23"/>
    </sheetView>
  </sheetViews>
  <sheetFormatPr baseColWidth="10" defaultRowHeight="12.9"/>
  <cols>
    <col min="1" max="1" width="13" customWidth="1"/>
    <col min="2" max="2" width="41.25" customWidth="1"/>
    <col min="3" max="3" width="17.875" customWidth="1"/>
    <col min="4" max="4" width="19" customWidth="1"/>
    <col min="5" max="5" width="22.125" customWidth="1"/>
    <col min="6" max="6" width="30.875" customWidth="1"/>
    <col min="22" max="22" width="9.375" customWidth="1"/>
    <col min="23" max="23" width="10.875" customWidth="1"/>
    <col min="24" max="24" width="8.875" customWidth="1"/>
    <col min="25" max="25" width="11.25" customWidth="1"/>
  </cols>
  <sheetData>
    <row r="1" spans="1:26" ht="24.8" customHeight="1" thickBot="1">
      <c r="A1" s="1508" t="s">
        <v>1067</v>
      </c>
      <c r="B1" s="1509"/>
      <c r="C1" s="1509"/>
      <c r="D1" s="1510"/>
      <c r="E1" s="1511"/>
    </row>
    <row r="2" spans="1:26" ht="14.95" customHeight="1">
      <c r="A2" s="1512" t="s">
        <v>973</v>
      </c>
      <c r="B2" s="132" t="s">
        <v>1041</v>
      </c>
      <c r="C2" s="133" t="s">
        <v>1042</v>
      </c>
      <c r="D2" s="150" t="s">
        <v>991</v>
      </c>
      <c r="E2" s="134" t="s">
        <v>1043</v>
      </c>
    </row>
    <row r="3" spans="1:26" ht="14.95" customHeight="1">
      <c r="A3" s="1513"/>
      <c r="B3" s="3" t="s">
        <v>1044</v>
      </c>
      <c r="C3" s="31" t="s">
        <v>967</v>
      </c>
      <c r="D3" s="151">
        <v>600</v>
      </c>
      <c r="E3" s="35" t="s">
        <v>968</v>
      </c>
    </row>
    <row r="4" spans="1:26" ht="14.95" customHeight="1">
      <c r="A4" s="1513"/>
      <c r="B4" s="3" t="s">
        <v>1068</v>
      </c>
      <c r="C4" s="32" t="s">
        <v>1069</v>
      </c>
      <c r="D4" s="151">
        <v>100</v>
      </c>
      <c r="E4" s="35" t="s">
        <v>969</v>
      </c>
    </row>
    <row r="5" spans="1:26" ht="14.95" customHeight="1">
      <c r="A5" s="1513"/>
      <c r="B5" s="3" t="s">
        <v>1045</v>
      </c>
      <c r="C5" s="32" t="s">
        <v>1046</v>
      </c>
      <c r="D5" s="151">
        <v>5</v>
      </c>
      <c r="E5" s="35" t="s">
        <v>969</v>
      </c>
    </row>
    <row r="6" spans="1:26" ht="14.95" customHeight="1">
      <c r="A6" s="1513"/>
      <c r="B6" s="3" t="s">
        <v>959</v>
      </c>
      <c r="C6" s="33" t="s">
        <v>1070</v>
      </c>
      <c r="D6" s="151">
        <v>45</v>
      </c>
      <c r="E6" s="35" t="s">
        <v>970</v>
      </c>
    </row>
    <row r="7" spans="1:26" ht="14.95" customHeight="1">
      <c r="A7" s="1513"/>
      <c r="B7" s="3" t="s">
        <v>949</v>
      </c>
      <c r="C7" s="32" t="s">
        <v>954</v>
      </c>
      <c r="D7" s="151">
        <v>14</v>
      </c>
      <c r="E7" s="35" t="s">
        <v>969</v>
      </c>
    </row>
    <row r="8" spans="1:26" ht="14.95" customHeight="1">
      <c r="A8" s="1513"/>
      <c r="B8" s="3" t="s">
        <v>1047</v>
      </c>
      <c r="C8" s="52" t="s">
        <v>1048</v>
      </c>
      <c r="D8" s="300">
        <v>1.1000000000000001</v>
      </c>
      <c r="E8" s="35"/>
      <c r="W8" s="11" t="s">
        <v>990</v>
      </c>
      <c r="X8" s="1">
        <f>IF(D2="R",(1.35+(0.015*D7)),IF(D2="F",(0.9+(0.015*D7)),1))</f>
        <v>1.56</v>
      </c>
    </row>
    <row r="9" spans="1:26" ht="14.95" customHeight="1" thickBot="1">
      <c r="A9" s="1513"/>
      <c r="B9" s="3" t="s">
        <v>950</v>
      </c>
      <c r="C9" s="32" t="s">
        <v>955</v>
      </c>
      <c r="D9" s="153">
        <v>600</v>
      </c>
      <c r="E9" s="35" t="s">
        <v>971</v>
      </c>
      <c r="F9" s="2" t="s">
        <v>989</v>
      </c>
      <c r="Y9" s="1" t="s">
        <v>995</v>
      </c>
      <c r="Z9" s="1" t="s">
        <v>994</v>
      </c>
    </row>
    <row r="10" spans="1:26" ht="14.95" customHeight="1">
      <c r="A10" s="18"/>
      <c r="B10" s="5" t="s">
        <v>948</v>
      </c>
      <c r="C10" s="6" t="s">
        <v>965</v>
      </c>
      <c r="D10" s="241">
        <f>X15</f>
        <v>33.056250000000006</v>
      </c>
      <c r="E10" s="19" t="s">
        <v>971</v>
      </c>
      <c r="W10" s="12" t="s">
        <v>993</v>
      </c>
      <c r="X10">
        <f>D6/360*2*PI()</f>
        <v>0.78539816339744828</v>
      </c>
      <c r="Y10" s="15">
        <f>SIN(X10)^2</f>
        <v>0.49999999999999989</v>
      </c>
      <c r="Z10" s="15">
        <f>COS(X10)^2</f>
        <v>0.50000000000000011</v>
      </c>
    </row>
    <row r="11" spans="1:26" ht="14.95" customHeight="1">
      <c r="A11" s="18"/>
      <c r="B11" s="5" t="s">
        <v>1049</v>
      </c>
      <c r="C11" s="6" t="s">
        <v>1050</v>
      </c>
      <c r="D11" s="16">
        <f>D5/D7</f>
        <v>0.35714285714285715</v>
      </c>
      <c r="E11" s="19" t="s">
        <v>971</v>
      </c>
      <c r="W11" s="12"/>
      <c r="Y11" s="15"/>
      <c r="Z11" s="15"/>
    </row>
    <row r="12" spans="1:26" ht="14.95" customHeight="1">
      <c r="A12" s="18"/>
      <c r="B12" s="5" t="s">
        <v>962</v>
      </c>
      <c r="C12" s="8" t="s">
        <v>963</v>
      </c>
      <c r="D12" s="13">
        <f>0.3*D9*D7^2.6</f>
        <v>171872.10573305664</v>
      </c>
      <c r="E12" s="19" t="s">
        <v>972</v>
      </c>
      <c r="W12" s="1" t="s">
        <v>996</v>
      </c>
      <c r="X12">
        <f>IF(D2="C",(0.11*(1-0.01*D7)*X13*D3),0.082*(1-0.01*D7)*D3*Y13)</f>
        <v>42.311999999999998</v>
      </c>
    </row>
    <row r="13" spans="1:26" ht="14.95" customHeight="1">
      <c r="A13" s="1514" t="s">
        <v>979</v>
      </c>
      <c r="B13" s="53" t="s">
        <v>1051</v>
      </c>
      <c r="C13" s="23" t="s">
        <v>982</v>
      </c>
      <c r="D13" s="24">
        <f>(0.5*X15*D4*D7)</f>
        <v>23139.375000000004</v>
      </c>
      <c r="E13" s="21" t="s">
        <v>980</v>
      </c>
      <c r="W13" s="1" t="s">
        <v>1002</v>
      </c>
      <c r="X13">
        <v>1</v>
      </c>
      <c r="Y13">
        <f>IF(X13&gt;1,1,X13)</f>
        <v>1</v>
      </c>
    </row>
    <row r="14" spans="1:26" ht="14.95" customHeight="1">
      <c r="A14" s="1515"/>
      <c r="B14" s="53" t="s">
        <v>1071</v>
      </c>
      <c r="C14" s="23" t="s">
        <v>983</v>
      </c>
      <c r="D14" s="24">
        <f>(1.15*(2*D12*X15*D7)^0.5)</f>
        <v>14504.619724038726</v>
      </c>
      <c r="E14" s="21" t="s">
        <v>980</v>
      </c>
      <c r="W14" s="1"/>
    </row>
    <row r="15" spans="1:26" ht="14.95" customHeight="1">
      <c r="A15" s="1515"/>
      <c r="B15" s="53" t="s">
        <v>1072</v>
      </c>
      <c r="C15" s="23" t="s">
        <v>1075</v>
      </c>
      <c r="D15" s="24">
        <f>D13</f>
        <v>23139.375000000004</v>
      </c>
      <c r="E15" s="21" t="s">
        <v>980</v>
      </c>
      <c r="W15" s="1" t="s">
        <v>998</v>
      </c>
      <c r="X15">
        <f>X12/((X8*Y10)+Z10)</f>
        <v>33.056250000000006</v>
      </c>
    </row>
    <row r="16" spans="1:26" ht="14.95" customHeight="1">
      <c r="A16" s="1515"/>
      <c r="B16" s="53" t="s">
        <v>1054</v>
      </c>
      <c r="C16" s="23" t="s">
        <v>1126</v>
      </c>
      <c r="D16" s="24">
        <f>(2.3*(D12*X15*D7)^0.5)</f>
        <v>20512.629930799867</v>
      </c>
      <c r="E16" s="21" t="s">
        <v>980</v>
      </c>
      <c r="W16" s="1"/>
    </row>
    <row r="17" spans="1:24" ht="14.95" customHeight="1" thickBot="1">
      <c r="A17" s="1515"/>
      <c r="B17" s="53" t="s">
        <v>35</v>
      </c>
      <c r="C17" s="1044"/>
      <c r="D17" s="54">
        <f>X26</f>
        <v>12788.04537924983</v>
      </c>
      <c r="E17" s="21" t="s">
        <v>980</v>
      </c>
      <c r="W17" s="1"/>
    </row>
    <row r="18" spans="1:24" ht="23.95" customHeight="1" thickBot="1">
      <c r="A18" s="1515"/>
      <c r="B18" s="1041" t="s">
        <v>327</v>
      </c>
      <c r="C18" s="1042" t="s">
        <v>1056</v>
      </c>
      <c r="D18" s="240">
        <f>IF(D11&lt;0.5,X23,(IF(D11&gt;1,X24,X26)))</f>
        <v>14504.619724038726</v>
      </c>
      <c r="E18" s="1043" t="s">
        <v>980</v>
      </c>
    </row>
    <row r="19" spans="1:24" ht="19.05" thickBot="1">
      <c r="A19" s="1516"/>
      <c r="B19" s="1041" t="s">
        <v>1055</v>
      </c>
      <c r="C19" s="1042" t="s">
        <v>1056</v>
      </c>
      <c r="D19" s="240">
        <f>D18/1.3*D8</f>
        <v>12273.139766494309</v>
      </c>
      <c r="E19" s="1043" t="s">
        <v>980</v>
      </c>
      <c r="W19" s="1"/>
    </row>
    <row r="20" spans="1:24">
      <c r="W20" s="1"/>
    </row>
    <row r="21" spans="1:24" ht="19.7">
      <c r="A21" s="59" t="s">
        <v>1057</v>
      </c>
      <c r="B21" s="60" t="s">
        <v>1058</v>
      </c>
      <c r="W21" s="1" t="s">
        <v>53</v>
      </c>
    </row>
    <row r="22" spans="1:24" ht="13.6" thickBot="1">
      <c r="W22" s="1" t="s">
        <v>54</v>
      </c>
    </row>
    <row r="23" spans="1:24" ht="13.6" thickBot="1">
      <c r="B23" s="116" t="s">
        <v>1142</v>
      </c>
      <c r="W23" s="1" t="s">
        <v>1059</v>
      </c>
      <c r="X23" s="61">
        <f>MIN(D13:D14)</f>
        <v>14504.619724038726</v>
      </c>
    </row>
    <row r="24" spans="1:24">
      <c r="W24" s="1" t="s">
        <v>1060</v>
      </c>
      <c r="X24" s="61">
        <f>MIN(D15:D16)</f>
        <v>20512.629930799867</v>
      </c>
    </row>
    <row r="25" spans="1:24">
      <c r="W25" s="1" t="s">
        <v>1061</v>
      </c>
      <c r="X25" s="61">
        <f>X24-X23</f>
        <v>6008.0102067611406</v>
      </c>
    </row>
    <row r="26" spans="1:24">
      <c r="W26" s="1" t="s">
        <v>1062</v>
      </c>
      <c r="X26">
        <f>X25*((D11-0.5)/0.5)+X23</f>
        <v>12788.04537924983</v>
      </c>
    </row>
  </sheetData>
  <mergeCells count="3">
    <mergeCell ref="A1:E1"/>
    <mergeCell ref="A2:A9"/>
    <mergeCell ref="A13:A19"/>
  </mergeCells>
  <phoneticPr fontId="2" type="noConversion"/>
  <hyperlinks>
    <hyperlink ref="B23" location="'M3'!A1" display="RETOUR MENU"/>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oleObjects>
    <mc:AlternateContent xmlns:mc="http://schemas.openxmlformats.org/markup-compatibility/2006">
      <mc:Choice Requires="x14">
        <oleObject progId="Equation.3" shapeId="7178" r:id="rId4">
          <objectPr defaultSize="0" autoPict="0" r:id="rId5">
            <anchor moveWithCells="1" sizeWithCells="1">
              <from>
                <xdr:col>2</xdr:col>
                <xdr:colOff>258792</xdr:colOff>
                <xdr:row>20</xdr:row>
                <xdr:rowOff>43132</xdr:rowOff>
              </from>
              <to>
                <xdr:col>3</xdr:col>
                <xdr:colOff>612475</xdr:colOff>
                <xdr:row>23</xdr:row>
                <xdr:rowOff>77638</xdr:rowOff>
              </to>
            </anchor>
          </objectPr>
        </oleObject>
      </mc:Choice>
      <mc:Fallback>
        <oleObject progId="Equation.3" shapeId="7178" r:id="rId4"/>
      </mc:Fallback>
    </mc:AlternateContent>
  </oleObjec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dimension ref="A1:Y51"/>
  <sheetViews>
    <sheetView workbookViewId="0">
      <selection activeCell="J11" sqref="J11:L11"/>
    </sheetView>
  </sheetViews>
  <sheetFormatPr baseColWidth="10" defaultRowHeight="12.9"/>
  <cols>
    <col min="1" max="1" width="11.125" customWidth="1"/>
    <col min="2" max="2" width="11" customWidth="1"/>
    <col min="3" max="3" width="12.875" customWidth="1"/>
    <col min="4" max="4" width="14.625" customWidth="1"/>
    <col min="7" max="7" width="14.125" customWidth="1"/>
    <col min="9" max="9" width="7.125" customWidth="1"/>
    <col min="10" max="10" width="8.875" customWidth="1"/>
    <col min="11" max="11" width="14.125" customWidth="1"/>
    <col min="22" max="22" width="12.875" customWidth="1"/>
    <col min="23" max="23" width="12.375" bestFit="1" customWidth="1"/>
    <col min="25" max="25" width="9.875" customWidth="1"/>
  </cols>
  <sheetData>
    <row r="1" spans="1:23" ht="27.7" customHeight="1">
      <c r="A1" s="205"/>
      <c r="B1" s="223"/>
      <c r="C1" s="206"/>
      <c r="D1" s="207"/>
      <c r="H1" s="1523" t="s">
        <v>530</v>
      </c>
      <c r="I1" s="1524"/>
      <c r="J1" s="1524"/>
      <c r="K1" s="1525"/>
    </row>
    <row r="2" spans="1:23" ht="15.65">
      <c r="A2" s="205"/>
      <c r="B2" s="223"/>
      <c r="C2" s="206"/>
      <c r="D2" s="208"/>
      <c r="H2" s="506" t="s">
        <v>537</v>
      </c>
      <c r="I2" s="507"/>
      <c r="J2" s="227">
        <f>B18</f>
        <v>4.5</v>
      </c>
    </row>
    <row r="3" spans="1:23" ht="13.6" customHeight="1">
      <c r="A3" s="205"/>
      <c r="B3" s="223"/>
      <c r="C3" s="208"/>
      <c r="D3" s="207"/>
      <c r="H3" s="1526" t="s">
        <v>1031</v>
      </c>
      <c r="I3" s="1527"/>
      <c r="J3" s="648">
        <v>71</v>
      </c>
    </row>
    <row r="4" spans="1:23" ht="13.6" customHeight="1">
      <c r="A4" s="205"/>
      <c r="B4" s="223"/>
      <c r="C4" s="208"/>
      <c r="D4" s="207"/>
      <c r="H4" s="501" t="s">
        <v>533</v>
      </c>
      <c r="I4" s="502"/>
      <c r="J4" s="648">
        <v>1</v>
      </c>
      <c r="K4" s="499" t="s">
        <v>535</v>
      </c>
      <c r="V4" t="s">
        <v>1033</v>
      </c>
      <c r="W4">
        <f>C2/360*2*PI()</f>
        <v>0</v>
      </c>
    </row>
    <row r="5" spans="1:23" ht="13.6" customHeight="1">
      <c r="A5" s="205"/>
      <c r="B5" s="224"/>
      <c r="C5" s="208"/>
      <c r="D5" s="207"/>
      <c r="H5" s="501" t="s">
        <v>531</v>
      </c>
      <c r="I5" s="502"/>
      <c r="J5" s="648">
        <v>3</v>
      </c>
      <c r="K5" s="500" t="s">
        <v>536</v>
      </c>
    </row>
    <row r="6" spans="1:23" ht="13.6" customHeight="1">
      <c r="A6" s="205"/>
      <c r="B6" s="224"/>
      <c r="C6" s="208"/>
      <c r="D6" s="207"/>
      <c r="H6" s="501" t="s">
        <v>532</v>
      </c>
      <c r="I6" s="502"/>
      <c r="J6" s="648">
        <v>10</v>
      </c>
      <c r="K6" s="1521">
        <f>Y28</f>
        <v>30</v>
      </c>
    </row>
    <row r="7" spans="1:23" ht="13.6" customHeight="1">
      <c r="A7" s="205"/>
      <c r="B7" s="224"/>
      <c r="C7" s="208"/>
      <c r="D7" s="207"/>
      <c r="H7" s="504" t="s">
        <v>534</v>
      </c>
      <c r="I7" s="503"/>
      <c r="J7" s="9">
        <f>J6*J5</f>
        <v>30</v>
      </c>
      <c r="K7" s="1522"/>
    </row>
    <row r="8" spans="1:23" ht="13.6" customHeight="1">
      <c r="A8" s="205"/>
      <c r="B8" s="225"/>
      <c r="C8" s="208"/>
      <c r="D8" s="207"/>
      <c r="H8" s="505"/>
      <c r="I8" s="381"/>
    </row>
    <row r="9" spans="1:23" ht="4.5999999999999996" customHeight="1">
      <c r="A9" s="225"/>
      <c r="B9" s="225"/>
      <c r="C9" s="225"/>
      <c r="D9" s="208"/>
      <c r="H9" s="381"/>
      <c r="I9" s="381"/>
    </row>
    <row r="10" spans="1:23" ht="16.3" thickBot="1">
      <c r="A10" s="205"/>
      <c r="B10" s="223"/>
      <c r="C10" s="226"/>
      <c r="D10" s="207"/>
    </row>
    <row r="11" spans="1:23" ht="16.3" thickBot="1">
      <c r="A11" s="205"/>
      <c r="B11" s="223"/>
      <c r="C11" s="226"/>
      <c r="D11" s="208"/>
      <c r="J11" s="1425" t="s">
        <v>1142</v>
      </c>
      <c r="K11" s="1426"/>
      <c r="L11" s="1427"/>
    </row>
    <row r="12" spans="1:23" ht="13.6" customHeight="1" thickBot="1">
      <c r="A12" s="205"/>
      <c r="B12" s="223"/>
      <c r="C12" s="208"/>
      <c r="D12" s="207"/>
    </row>
    <row r="13" spans="1:23" ht="13.6" hidden="1" customHeight="1">
      <c r="A13" s="205"/>
      <c r="B13" s="224"/>
      <c r="C13" s="208"/>
      <c r="D13" s="207"/>
    </row>
    <row r="14" spans="1:23" ht="13.6" hidden="1" customHeight="1">
      <c r="A14" s="205"/>
      <c r="B14" s="224"/>
      <c r="C14" s="208"/>
      <c r="D14" s="207"/>
    </row>
    <row r="15" spans="1:23" ht="19.55" hidden="1" customHeight="1">
      <c r="A15" s="205"/>
      <c r="B15" s="224"/>
      <c r="C15" s="208"/>
      <c r="D15" s="207"/>
    </row>
    <row r="16" spans="1:23" ht="19.55" hidden="1" customHeight="1">
      <c r="A16" s="205"/>
      <c r="B16" s="225"/>
      <c r="C16" s="208"/>
      <c r="D16" s="207"/>
    </row>
    <row r="17" spans="1:25" ht="19.55" hidden="1" customHeight="1" thickBot="1"/>
    <row r="18" spans="1:25" ht="19.55" customHeight="1" thickBot="1">
      <c r="A18" s="157" t="s">
        <v>1148</v>
      </c>
      <c r="B18" s="1531">
        <v>4.5</v>
      </c>
      <c r="C18" s="1532"/>
      <c r="D18" s="158" t="s">
        <v>969</v>
      </c>
      <c r="F18" s="59" t="s">
        <v>1084</v>
      </c>
      <c r="G18" s="228"/>
      <c r="V18" t="s">
        <v>1033</v>
      </c>
      <c r="W18">
        <f>B19/360*2*PI()</f>
        <v>0.46251225177849731</v>
      </c>
    </row>
    <row r="19" spans="1:25" ht="14.95" thickBot="1">
      <c r="A19" s="157" t="s">
        <v>1152</v>
      </c>
      <c r="B19" s="1533">
        <v>26.5</v>
      </c>
      <c r="C19" s="1534"/>
      <c r="D19" s="159" t="s">
        <v>1030</v>
      </c>
      <c r="F19" s="76" t="s">
        <v>1085</v>
      </c>
      <c r="G19" s="227"/>
      <c r="W19">
        <f>ABS(COS(W18))</f>
        <v>0.89493436160202511</v>
      </c>
    </row>
    <row r="20" spans="1:25" ht="14.3">
      <c r="A20" s="126"/>
      <c r="B20" s="1535" t="s">
        <v>1149</v>
      </c>
      <c r="C20" s="1536"/>
      <c r="D20" s="120" t="s">
        <v>1150</v>
      </c>
      <c r="E20" s="1535" t="s">
        <v>1149</v>
      </c>
      <c r="F20" s="1536"/>
      <c r="G20" s="120" t="s">
        <v>1150</v>
      </c>
      <c r="J20" s="229" t="s">
        <v>23</v>
      </c>
      <c r="K20" s="230"/>
      <c r="L20" s="231"/>
      <c r="W20">
        <f>ABS(SIN(W18))</f>
        <v>0.44619781310980877</v>
      </c>
    </row>
    <row r="21" spans="1:25" ht="14.95" thickBot="1">
      <c r="A21" s="126"/>
      <c r="B21" s="1528" t="s">
        <v>1175</v>
      </c>
      <c r="C21" s="1529"/>
      <c r="D21" s="1530"/>
      <c r="E21" s="1528" t="s">
        <v>1176</v>
      </c>
      <c r="F21" s="1529"/>
      <c r="G21" s="1530"/>
      <c r="H21" s="122"/>
      <c r="J21" s="232" t="s">
        <v>22</v>
      </c>
      <c r="K21" s="233"/>
      <c r="L21" s="234"/>
    </row>
    <row r="22" spans="1:25" ht="15.65">
      <c r="A22" s="126"/>
      <c r="B22" s="125" t="s">
        <v>1151</v>
      </c>
      <c r="C22" s="125" t="s">
        <v>1153</v>
      </c>
      <c r="D22" s="171"/>
      <c r="E22" s="125" t="s">
        <v>1151</v>
      </c>
      <c r="F22" s="125" t="s">
        <v>1153</v>
      </c>
      <c r="G22" s="171"/>
      <c r="H22" s="123"/>
    </row>
    <row r="23" spans="1:25" ht="13.6" customHeight="1">
      <c r="A23" s="124" t="s">
        <v>1031</v>
      </c>
      <c r="B23" s="172">
        <f>IF(B18&lt;5,(5+(5*W19))*B18,(5+(7*W19))*B18)</f>
        <v>42.636023136045566</v>
      </c>
      <c r="C23" s="172">
        <f>((COS(W18)*8)+7)*B18</f>
        <v>63.717637017672907</v>
      </c>
      <c r="D23" s="172">
        <f>((COS(W18)*3)+4)*B18</f>
        <v>30.081613881627341</v>
      </c>
      <c r="E23" s="172">
        <f t="shared" ref="E23:G28" si="0">B23*0.85</f>
        <v>36.240619665638732</v>
      </c>
      <c r="F23" s="172">
        <f t="shared" si="0"/>
        <v>54.159991465021967</v>
      </c>
      <c r="G23" s="172">
        <f t="shared" si="0"/>
        <v>25.569371799383241</v>
      </c>
      <c r="H23" s="121" t="s">
        <v>969</v>
      </c>
    </row>
    <row r="24" spans="1:25" ht="13.6" customHeight="1">
      <c r="A24" s="124" t="s">
        <v>1032</v>
      </c>
      <c r="B24" s="172">
        <f>5*B18</f>
        <v>22.5</v>
      </c>
      <c r="C24" s="172">
        <f>7*B18</f>
        <v>31.5</v>
      </c>
      <c r="D24" s="172">
        <f>((SIN(W18)+3))*B18</f>
        <v>15.507890158994138</v>
      </c>
      <c r="E24" s="172">
        <f t="shared" si="0"/>
        <v>19.125</v>
      </c>
      <c r="F24" s="172">
        <f t="shared" si="0"/>
        <v>26.774999999999999</v>
      </c>
      <c r="G24" s="172">
        <f t="shared" si="0"/>
        <v>13.181706635145018</v>
      </c>
      <c r="H24" s="121" t="s">
        <v>969</v>
      </c>
      <c r="K24" s="4" t="s">
        <v>56</v>
      </c>
    </row>
    <row r="25" spans="1:25" ht="13.6" customHeight="1">
      <c r="A25" s="124" t="s">
        <v>1034</v>
      </c>
      <c r="B25" s="172">
        <f>((COS(W18)*5)+10)*B18</f>
        <v>65.136023136045566</v>
      </c>
      <c r="C25" s="172">
        <f>((COS(W18)*5)+15)*B18</f>
        <v>87.636023136045566</v>
      </c>
      <c r="D25" s="172">
        <f>((COS(W18)*5)+7)*B18</f>
        <v>51.636023136045566</v>
      </c>
      <c r="E25" s="172">
        <f t="shared" si="0"/>
        <v>55.365619665638732</v>
      </c>
      <c r="F25" s="172">
        <f t="shared" ref="F25:G28" si="1">E25</f>
        <v>55.365619665638732</v>
      </c>
      <c r="G25" s="172">
        <f t="shared" si="1"/>
        <v>55.365619665638732</v>
      </c>
      <c r="H25" s="121" t="s">
        <v>969</v>
      </c>
      <c r="J25" s="124" t="s">
        <v>1034</v>
      </c>
      <c r="K25" s="172">
        <f>(3+4*W20)*B18</f>
        <v>21.531560635976557</v>
      </c>
      <c r="V25" t="s">
        <v>529</v>
      </c>
      <c r="W25">
        <f>J4</f>
        <v>1</v>
      </c>
    </row>
    <row r="26" spans="1:25" ht="13.6" customHeight="1">
      <c r="A26" s="124" t="s">
        <v>1036</v>
      </c>
      <c r="B26" s="172">
        <f>10*B18</f>
        <v>45</v>
      </c>
      <c r="C26" s="172">
        <f>15*B18</f>
        <v>67.5</v>
      </c>
      <c r="D26" s="172">
        <f>7*B18</f>
        <v>31.5</v>
      </c>
      <c r="E26" s="172">
        <f t="shared" si="0"/>
        <v>38.25</v>
      </c>
      <c r="F26" s="172">
        <f t="shared" si="1"/>
        <v>38.25</v>
      </c>
      <c r="G26" s="172">
        <f t="shared" si="1"/>
        <v>38.25</v>
      </c>
      <c r="H26" s="121" t="s">
        <v>969</v>
      </c>
      <c r="J26" s="124" t="s">
        <v>1036</v>
      </c>
      <c r="K26" s="172">
        <f>B18*3</f>
        <v>13.5</v>
      </c>
      <c r="V26" t="s">
        <v>1031</v>
      </c>
      <c r="W26">
        <f>J3</f>
        <v>71</v>
      </c>
      <c r="Y26" s="107">
        <f>VLOOKUP(W26,W31:Y51,(IF(W25=2,3,2)))</f>
        <v>1</v>
      </c>
    </row>
    <row r="27" spans="1:25" ht="13.6" customHeight="1">
      <c r="A27" s="124" t="s">
        <v>1037</v>
      </c>
      <c r="B27" s="172">
        <f>IF(B18&lt;5,(5+(2*W20))*B18,(5+(5*W20))*B18)</f>
        <v>26.515780317988277</v>
      </c>
      <c r="C27" s="172">
        <f>IF(B18&lt;5,(7+(2*W20))*B18,(7+(5*W20))*C18)</f>
        <v>35.515780317988273</v>
      </c>
      <c r="D27" s="172">
        <f>IF(B18&lt;5,(3+(2*W20))*B18,(3+(4*W20))*B18)</f>
        <v>17.515780317988281</v>
      </c>
      <c r="E27" s="172">
        <f t="shared" si="0"/>
        <v>22.538413270290036</v>
      </c>
      <c r="F27" s="172">
        <f t="shared" si="1"/>
        <v>22.538413270290036</v>
      </c>
      <c r="G27" s="172">
        <f t="shared" si="1"/>
        <v>22.538413270290036</v>
      </c>
      <c r="H27" s="121" t="s">
        <v>969</v>
      </c>
      <c r="J27" s="124" t="s">
        <v>1037</v>
      </c>
      <c r="K27" s="172">
        <f>K25</f>
        <v>21.531560635976557</v>
      </c>
      <c r="V27" t="s">
        <v>526</v>
      </c>
      <c r="W27">
        <f>J2</f>
        <v>4.5</v>
      </c>
      <c r="Y27" s="15">
        <f>W29^Y26</f>
        <v>10</v>
      </c>
    </row>
    <row r="28" spans="1:25" ht="13.6" customHeight="1">
      <c r="A28" s="124" t="s">
        <v>1039</v>
      </c>
      <c r="B28" s="172">
        <f>5*B18</f>
        <v>22.5</v>
      </c>
      <c r="C28" s="172">
        <f>7*B18</f>
        <v>31.5</v>
      </c>
      <c r="D28" s="172">
        <f>3*B18</f>
        <v>13.5</v>
      </c>
      <c r="E28" s="172">
        <f t="shared" si="0"/>
        <v>19.125</v>
      </c>
      <c r="F28" s="172">
        <f t="shared" si="1"/>
        <v>19.125</v>
      </c>
      <c r="G28" s="172">
        <f t="shared" si="1"/>
        <v>19.125</v>
      </c>
      <c r="H28" s="121" t="s">
        <v>969</v>
      </c>
      <c r="J28" s="124" t="s">
        <v>1039</v>
      </c>
      <c r="K28" s="172">
        <f>K26</f>
        <v>13.5</v>
      </c>
      <c r="V28" t="s">
        <v>527</v>
      </c>
      <c r="W28">
        <f>J5</f>
        <v>3</v>
      </c>
      <c r="Y28" s="15">
        <f>Y27*W28</f>
        <v>30</v>
      </c>
    </row>
    <row r="29" spans="1:25">
      <c r="V29" t="s">
        <v>528</v>
      </c>
      <c r="W29">
        <f>J6</f>
        <v>10</v>
      </c>
    </row>
    <row r="31" spans="1:25">
      <c r="V31">
        <v>4</v>
      </c>
      <c r="W31">
        <f t="shared" ref="W31:W51" si="2">V31*W$27</f>
        <v>18</v>
      </c>
      <c r="X31" s="107">
        <v>0</v>
      </c>
      <c r="Y31" s="107">
        <v>0.5</v>
      </c>
    </row>
    <row r="32" spans="1:25">
      <c r="V32">
        <f>V31+0.5</f>
        <v>4.5</v>
      </c>
      <c r="W32">
        <f t="shared" si="2"/>
        <v>20.25</v>
      </c>
      <c r="X32" s="107">
        <f>X31+0.117</f>
        <v>0.11700000000000001</v>
      </c>
      <c r="Y32" s="107">
        <f>Y31+0.033</f>
        <v>0.53300000000000003</v>
      </c>
    </row>
    <row r="33" spans="22:25">
      <c r="V33">
        <f t="shared" ref="V33:V51" si="3">V32+0.5</f>
        <v>5</v>
      </c>
      <c r="W33">
        <f t="shared" si="2"/>
        <v>22.5</v>
      </c>
      <c r="X33" s="107">
        <f>X32+0.117</f>
        <v>0.23400000000000001</v>
      </c>
      <c r="Y33" s="107">
        <f>Y32+0.033</f>
        <v>0.56600000000000006</v>
      </c>
    </row>
    <row r="34" spans="22:25">
      <c r="V34">
        <f t="shared" si="3"/>
        <v>5.5</v>
      </c>
      <c r="W34">
        <f t="shared" si="2"/>
        <v>24.75</v>
      </c>
      <c r="X34" s="107">
        <f>X33+0.117</f>
        <v>0.35100000000000003</v>
      </c>
      <c r="Y34" s="107">
        <f>Y33+0.033</f>
        <v>0.59900000000000009</v>
      </c>
    </row>
    <row r="35" spans="22:25">
      <c r="V35">
        <f t="shared" si="3"/>
        <v>6</v>
      </c>
      <c r="W35">
        <f t="shared" si="2"/>
        <v>27</v>
      </c>
      <c r="X35" s="107">
        <f>X34+0.117</f>
        <v>0.46800000000000003</v>
      </c>
      <c r="Y35" s="107">
        <f>Y34+0.033</f>
        <v>0.63200000000000012</v>
      </c>
    </row>
    <row r="36" spans="22:25">
      <c r="V36">
        <f t="shared" si="3"/>
        <v>6.5</v>
      </c>
      <c r="W36">
        <f t="shared" si="2"/>
        <v>29.25</v>
      </c>
      <c r="X36" s="107">
        <f>X35+0.117</f>
        <v>0.58500000000000008</v>
      </c>
      <c r="Y36" s="107">
        <f>Y35+0.033</f>
        <v>0.66500000000000015</v>
      </c>
    </row>
    <row r="37" spans="22:25">
      <c r="V37">
        <f t="shared" si="3"/>
        <v>7</v>
      </c>
      <c r="W37">
        <f t="shared" si="2"/>
        <v>31.5</v>
      </c>
      <c r="X37" s="107">
        <v>0.7</v>
      </c>
      <c r="Y37" s="107">
        <v>0.7</v>
      </c>
    </row>
    <row r="38" spans="22:25">
      <c r="V38">
        <f t="shared" si="3"/>
        <v>7.5</v>
      </c>
      <c r="W38">
        <f t="shared" si="2"/>
        <v>33.75</v>
      </c>
      <c r="X38" s="107">
        <f>X37+0.025</f>
        <v>0.72499999999999998</v>
      </c>
      <c r="Y38" s="107">
        <f>Y37+0.025</f>
        <v>0.72499999999999998</v>
      </c>
    </row>
    <row r="39" spans="22:25">
      <c r="V39">
        <f t="shared" si="3"/>
        <v>8</v>
      </c>
      <c r="W39">
        <f t="shared" si="2"/>
        <v>36</v>
      </c>
      <c r="X39" s="107">
        <f t="shared" ref="X39:Y42" si="4">X38+0.025</f>
        <v>0.75</v>
      </c>
      <c r="Y39" s="107">
        <f t="shared" si="4"/>
        <v>0.75</v>
      </c>
    </row>
    <row r="40" spans="22:25">
      <c r="V40">
        <f t="shared" si="3"/>
        <v>8.5</v>
      </c>
      <c r="W40">
        <f t="shared" si="2"/>
        <v>38.25</v>
      </c>
      <c r="X40" s="107">
        <f t="shared" si="4"/>
        <v>0.77500000000000002</v>
      </c>
      <c r="Y40" s="107">
        <f t="shared" si="4"/>
        <v>0.77500000000000002</v>
      </c>
    </row>
    <row r="41" spans="22:25">
      <c r="V41">
        <f t="shared" si="3"/>
        <v>9</v>
      </c>
      <c r="W41">
        <f t="shared" si="2"/>
        <v>40.5</v>
      </c>
      <c r="X41" s="107">
        <f t="shared" si="4"/>
        <v>0.8</v>
      </c>
      <c r="Y41" s="107">
        <f t="shared" si="4"/>
        <v>0.8</v>
      </c>
    </row>
    <row r="42" spans="22:25">
      <c r="V42">
        <f t="shared" si="3"/>
        <v>9.5</v>
      </c>
      <c r="W42">
        <f t="shared" si="2"/>
        <v>42.75</v>
      </c>
      <c r="X42" s="107">
        <f t="shared" si="4"/>
        <v>0.82500000000000007</v>
      </c>
      <c r="Y42" s="107">
        <f t="shared" si="4"/>
        <v>0.82500000000000007</v>
      </c>
    </row>
    <row r="43" spans="22:25">
      <c r="V43">
        <f t="shared" si="3"/>
        <v>10</v>
      </c>
      <c r="W43">
        <f t="shared" si="2"/>
        <v>45</v>
      </c>
      <c r="X43" s="107">
        <v>0.85</v>
      </c>
      <c r="Y43" s="107">
        <v>0.85</v>
      </c>
    </row>
    <row r="44" spans="22:25">
      <c r="V44">
        <f t="shared" si="3"/>
        <v>10.5</v>
      </c>
      <c r="W44">
        <f t="shared" si="2"/>
        <v>47.25</v>
      </c>
      <c r="X44" s="107">
        <f>X43+0.019</f>
        <v>0.86899999999999999</v>
      </c>
      <c r="Y44" s="107">
        <f>Y43+0.019</f>
        <v>0.86899999999999999</v>
      </c>
    </row>
    <row r="45" spans="22:25">
      <c r="V45">
        <f t="shared" si="3"/>
        <v>11</v>
      </c>
      <c r="W45">
        <f t="shared" si="2"/>
        <v>49.5</v>
      </c>
      <c r="X45" s="107">
        <f t="shared" ref="X45:Y50" si="5">X44+0.019</f>
        <v>0.88800000000000001</v>
      </c>
      <c r="Y45" s="107">
        <f t="shared" si="5"/>
        <v>0.88800000000000001</v>
      </c>
    </row>
    <row r="46" spans="22:25">
      <c r="V46">
        <f t="shared" si="3"/>
        <v>11.5</v>
      </c>
      <c r="W46">
        <f t="shared" si="2"/>
        <v>51.75</v>
      </c>
      <c r="X46" s="107">
        <f t="shared" si="5"/>
        <v>0.90700000000000003</v>
      </c>
      <c r="Y46" s="107">
        <f t="shared" si="5"/>
        <v>0.90700000000000003</v>
      </c>
    </row>
    <row r="47" spans="22:25">
      <c r="V47">
        <f t="shared" si="3"/>
        <v>12</v>
      </c>
      <c r="W47">
        <f t="shared" si="2"/>
        <v>54</v>
      </c>
      <c r="X47" s="107">
        <f t="shared" si="5"/>
        <v>0.92600000000000005</v>
      </c>
      <c r="Y47" s="107">
        <f t="shared" si="5"/>
        <v>0.92600000000000005</v>
      </c>
    </row>
    <row r="48" spans="22:25">
      <c r="V48">
        <f t="shared" si="3"/>
        <v>12.5</v>
      </c>
      <c r="W48">
        <f t="shared" si="2"/>
        <v>56.25</v>
      </c>
      <c r="X48" s="107">
        <f t="shared" si="5"/>
        <v>0.94500000000000006</v>
      </c>
      <c r="Y48" s="107">
        <f t="shared" si="5"/>
        <v>0.94500000000000006</v>
      </c>
    </row>
    <row r="49" spans="22:25">
      <c r="V49">
        <f t="shared" si="3"/>
        <v>13</v>
      </c>
      <c r="W49">
        <f t="shared" si="2"/>
        <v>58.5</v>
      </c>
      <c r="X49" s="107">
        <f t="shared" si="5"/>
        <v>0.96400000000000008</v>
      </c>
      <c r="Y49" s="107">
        <f t="shared" si="5"/>
        <v>0.96400000000000008</v>
      </c>
    </row>
    <row r="50" spans="22:25">
      <c r="V50">
        <f t="shared" si="3"/>
        <v>13.5</v>
      </c>
      <c r="W50">
        <f t="shared" si="2"/>
        <v>60.75</v>
      </c>
      <c r="X50" s="107">
        <f t="shared" si="5"/>
        <v>0.9830000000000001</v>
      </c>
      <c r="Y50" s="107">
        <f t="shared" si="5"/>
        <v>0.9830000000000001</v>
      </c>
    </row>
    <row r="51" spans="22:25">
      <c r="V51">
        <f t="shared" si="3"/>
        <v>14</v>
      </c>
      <c r="W51">
        <f t="shared" si="2"/>
        <v>63</v>
      </c>
      <c r="X51" s="107">
        <v>1</v>
      </c>
      <c r="Y51" s="107">
        <v>1</v>
      </c>
    </row>
  </sheetData>
  <mergeCells count="10">
    <mergeCell ref="K6:K7"/>
    <mergeCell ref="H1:K1"/>
    <mergeCell ref="H3:I3"/>
    <mergeCell ref="B21:D21"/>
    <mergeCell ref="E21:G21"/>
    <mergeCell ref="J11:L11"/>
    <mergeCell ref="B18:C18"/>
    <mergeCell ref="B19:C19"/>
    <mergeCell ref="B20:C20"/>
    <mergeCell ref="E20:F20"/>
  </mergeCells>
  <phoneticPr fontId="2" type="noConversion"/>
  <hyperlinks>
    <hyperlink ref="J11" location="MENU!A1" display="RETOUR MENU"/>
    <hyperlink ref="J11:L11" location="'M3'!A1" display="RETOUR MENU"/>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B1:D32"/>
  <sheetViews>
    <sheetView workbookViewId="0">
      <selection activeCell="C4" sqref="C4"/>
    </sheetView>
  </sheetViews>
  <sheetFormatPr baseColWidth="10" defaultRowHeight="12.9"/>
  <cols>
    <col min="1" max="1" width="8.375" customWidth="1"/>
    <col min="2" max="2" width="5.375" customWidth="1"/>
    <col min="3" max="3" width="122.25" customWidth="1"/>
  </cols>
  <sheetData>
    <row r="1" spans="2:4" s="117" customFormat="1" ht="19.55" customHeight="1">
      <c r="B1" s="1257" t="s">
        <v>505</v>
      </c>
      <c r="C1" s="1258"/>
    </row>
    <row r="2" spans="2:4" s="117" customFormat="1" ht="22.6" customHeight="1"/>
    <row r="3" spans="2:4" s="117" customFormat="1" ht="18.7" customHeight="1">
      <c r="B3" s="1259"/>
      <c r="C3" s="1260"/>
    </row>
    <row r="4" spans="2:4" s="351" customFormat="1" ht="15.8" customHeight="1">
      <c r="B4" s="410"/>
      <c r="C4" s="417" t="s">
        <v>422</v>
      </c>
      <c r="D4" s="343">
        <v>27</v>
      </c>
    </row>
    <row r="5" spans="2:4" s="351" customFormat="1" ht="15.8" customHeight="1">
      <c r="B5" s="412"/>
      <c r="C5" s="1241"/>
      <c r="D5" s="343"/>
    </row>
    <row r="6" spans="2:4" s="351" customFormat="1" ht="15.8" customHeight="1">
      <c r="B6" s="411"/>
      <c r="C6" s="416" t="s">
        <v>423</v>
      </c>
      <c r="D6" s="343">
        <v>28</v>
      </c>
    </row>
    <row r="7" spans="2:4" s="351" customFormat="1" ht="15.8" customHeight="1">
      <c r="B7" s="411"/>
      <c r="C7" s="416" t="s">
        <v>503</v>
      </c>
      <c r="D7" s="343">
        <v>1</v>
      </c>
    </row>
    <row r="8" spans="2:4" s="351" customFormat="1" ht="15.8" customHeight="1">
      <c r="B8" s="411"/>
      <c r="C8" s="416" t="s">
        <v>426</v>
      </c>
      <c r="D8" s="343">
        <v>32</v>
      </c>
    </row>
    <row r="9" spans="2:4" s="351" customFormat="1" ht="15.8" customHeight="1">
      <c r="B9" s="411"/>
      <c r="C9" s="416" t="s">
        <v>1267</v>
      </c>
      <c r="D9" s="343">
        <v>30</v>
      </c>
    </row>
    <row r="10" spans="2:4" s="351" customFormat="1" ht="15.8" customHeight="1">
      <c r="B10" s="412"/>
      <c r="C10" s="1242"/>
      <c r="D10" s="343"/>
    </row>
    <row r="11" spans="2:4" s="351" customFormat="1" ht="15.8" customHeight="1">
      <c r="B11" s="415"/>
      <c r="C11" s="418" t="s">
        <v>424</v>
      </c>
      <c r="D11" s="343">
        <v>29</v>
      </c>
    </row>
    <row r="12" spans="2:4" s="351" customFormat="1" ht="15.8" customHeight="1">
      <c r="B12" s="415"/>
      <c r="C12" s="418" t="s">
        <v>427</v>
      </c>
      <c r="D12" s="343">
        <v>33</v>
      </c>
    </row>
    <row r="13" spans="2:4" s="351" customFormat="1" ht="15.8" customHeight="1">
      <c r="B13" s="412"/>
      <c r="C13" s="1243"/>
      <c r="D13" s="343"/>
    </row>
    <row r="14" spans="2:4" s="351" customFormat="1" ht="15.8" customHeight="1">
      <c r="B14" s="420"/>
      <c r="C14" s="421" t="s">
        <v>425</v>
      </c>
      <c r="D14" s="343">
        <v>31</v>
      </c>
    </row>
    <row r="15" spans="2:4" s="351" customFormat="1" ht="15.8" customHeight="1">
      <c r="B15" s="420"/>
      <c r="C15" s="421" t="s">
        <v>428</v>
      </c>
      <c r="D15" s="343">
        <v>6</v>
      </c>
    </row>
    <row r="16" spans="2:4" s="351" customFormat="1" ht="15.8" customHeight="1">
      <c r="B16" s="412"/>
      <c r="C16" s="1238"/>
      <c r="D16" s="343"/>
    </row>
    <row r="17" spans="2:4" s="351" customFormat="1" ht="15.8" customHeight="1">
      <c r="B17" s="1236"/>
      <c r="C17" s="627" t="s">
        <v>677</v>
      </c>
      <c r="D17" s="343">
        <v>34</v>
      </c>
    </row>
    <row r="18" spans="2:4" s="351" customFormat="1" ht="15.8" customHeight="1">
      <c r="B18" s="1237"/>
      <c r="C18" s="628" t="s">
        <v>678</v>
      </c>
      <c r="D18" s="343">
        <v>40</v>
      </c>
    </row>
    <row r="19" spans="2:4" s="351" customFormat="1" ht="15.8" customHeight="1">
      <c r="B19" s="1237"/>
      <c r="C19" s="627" t="s">
        <v>679</v>
      </c>
      <c r="D19" s="343">
        <v>36</v>
      </c>
    </row>
    <row r="20" spans="2:4" s="351" customFormat="1" ht="15.8" customHeight="1">
      <c r="B20" s="1236"/>
      <c r="C20" s="627" t="s">
        <v>1291</v>
      </c>
      <c r="D20" s="343">
        <v>35</v>
      </c>
    </row>
    <row r="21" spans="2:4" s="351" customFormat="1" ht="15.8" customHeight="1">
      <c r="B21" s="1239"/>
      <c r="C21" s="1238"/>
    </row>
    <row r="22" spans="2:4" s="351" customFormat="1" ht="15.8" customHeight="1">
      <c r="B22" s="413"/>
      <c r="C22" s="1235" t="s">
        <v>1293</v>
      </c>
      <c r="D22" s="1234" t="s">
        <v>1292</v>
      </c>
    </row>
    <row r="23" spans="2:4" s="351" customFormat="1" ht="15.8" customHeight="1">
      <c r="B23" s="1239"/>
      <c r="C23" s="1238"/>
    </row>
    <row r="24" spans="2:4" s="351" customFormat="1" ht="15.8" customHeight="1">
      <c r="B24" s="415"/>
      <c r="C24" s="457" t="s">
        <v>411</v>
      </c>
      <c r="D24" s="343">
        <v>37</v>
      </c>
    </row>
    <row r="25" spans="2:4" s="351" customFormat="1" ht="15.8" customHeight="1">
      <c r="B25" s="415"/>
      <c r="C25" s="419" t="s">
        <v>412</v>
      </c>
      <c r="D25" s="343">
        <v>38</v>
      </c>
    </row>
    <row r="26" spans="2:4" s="351" customFormat="1" ht="15.8" customHeight="1">
      <c r="B26" s="412"/>
      <c r="C26" s="1240"/>
      <c r="D26" s="343"/>
    </row>
    <row r="27" spans="2:4" s="352" customFormat="1" ht="15.8" customHeight="1">
      <c r="B27" s="951"/>
      <c r="C27" s="1039" t="s">
        <v>887</v>
      </c>
      <c r="D27" s="344"/>
    </row>
    <row r="28" spans="2:4" ht="18" customHeight="1">
      <c r="C28" s="175"/>
      <c r="D28" s="344"/>
    </row>
    <row r="29" spans="2:4" ht="17.350000000000001" customHeight="1">
      <c r="B29" s="1255" t="s">
        <v>398</v>
      </c>
      <c r="C29" s="1256"/>
    </row>
    <row r="30" spans="2:4" s="287" customFormat="1" ht="17.350000000000001" customHeight="1">
      <c r="C30" s="341"/>
    </row>
    <row r="31" spans="2:4" s="287" customFormat="1" ht="17.350000000000001" customHeight="1">
      <c r="B31" s="1250" t="s">
        <v>98</v>
      </c>
      <c r="C31" s="1251"/>
    </row>
    <row r="32" spans="2:4" s="287" customFormat="1" ht="17.350000000000001" customHeight="1">
      <c r="C32" s="341"/>
    </row>
  </sheetData>
  <mergeCells count="4">
    <mergeCell ref="B1:C1"/>
    <mergeCell ref="B3:C3"/>
    <mergeCell ref="B29:C29"/>
    <mergeCell ref="B31:C31"/>
  </mergeCells>
  <phoneticPr fontId="2" type="noConversion"/>
  <hyperlinks>
    <hyperlink ref="C6" location="'28'!A1" display="Résistance à la compression axiale"/>
    <hyperlink ref="C14" location="'31'!A1" display="Résistance au cisaillement longitudinal"/>
    <hyperlink ref="C15" location="'6'!A1" display="Vérification au fendage"/>
    <hyperlink ref="C12" location="'33'!A1" display="Résistance à la traction transversale"/>
    <hyperlink ref="C8" location="'32'!A1" display="Résistance à la compression transversale"/>
    <hyperlink ref="B29:C29" location="MP!A1" display="RETOUR AU MENU PRINCIPAL"/>
    <hyperlink ref="C7" location="'1'!A1" display="Valeur contrainte de compression selon un angle a compris entre 0° et 90°"/>
    <hyperlink ref="C11" location="'29'!A1" display="Résistance à la traction axiale"/>
    <hyperlink ref="C4" location="'27'!A1" display="Résistance à la flexion"/>
    <hyperlink ref="C17" location="'34'!A1" display="Sollicitations composées : flexion deversée"/>
    <hyperlink ref="C20" location="'35'!A1" display="Sollicitations composées : flexion + compression"/>
    <hyperlink ref="C19" location="'36'!A1" display="Sollicitations composées : flexion + traction"/>
    <hyperlink ref="C24" location="'37'!A1" display="Poutres à inertie variable : Simple décroissance"/>
    <hyperlink ref="C18" location="'40'!A1" display="Sollicitations composées : flexion + compression"/>
    <hyperlink ref="C27" location="BOIS!A1" display="CARACTERISTIQUES DES BOIS"/>
    <hyperlink ref="C22" location="'35a'!A1" display="Sollicitations composées : flexion (Mfy, MFz) + compression (PANNE déversée comprimée et fléchie) "/>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W56"/>
  <sheetViews>
    <sheetView workbookViewId="0">
      <selection activeCell="I28" sqref="I28:K28"/>
    </sheetView>
  </sheetViews>
  <sheetFormatPr baseColWidth="10" defaultRowHeight="12.9"/>
  <cols>
    <col min="1" max="1" width="11.125" customWidth="1"/>
    <col min="2" max="2" width="10.25" customWidth="1"/>
    <col min="3" max="3" width="9.75" customWidth="1"/>
    <col min="4" max="4" width="14.625" customWidth="1"/>
    <col min="5" max="5" width="14.375" customWidth="1"/>
    <col min="6" max="6" width="14.75" customWidth="1"/>
    <col min="7" max="7" width="15.25" customWidth="1"/>
  </cols>
  <sheetData>
    <row r="1" spans="1:23" ht="14.95" customHeight="1">
      <c r="A1" s="1539" t="s">
        <v>1248</v>
      </c>
      <c r="B1" s="1360"/>
      <c r="C1" s="1360"/>
      <c r="D1" s="1540"/>
    </row>
    <row r="2" spans="1:23" ht="14.95" customHeight="1">
      <c r="A2" s="1543" t="s">
        <v>17</v>
      </c>
      <c r="B2" s="1544"/>
      <c r="C2" s="215">
        <v>12</v>
      </c>
      <c r="D2" s="34" t="s">
        <v>969</v>
      </c>
    </row>
    <row r="3" spans="1:23" ht="14.95" customHeight="1" thickBot="1">
      <c r="A3" s="45" t="s">
        <v>1152</v>
      </c>
      <c r="B3" s="52"/>
      <c r="C3" s="156">
        <v>0</v>
      </c>
      <c r="D3" s="154" t="s">
        <v>1030</v>
      </c>
    </row>
    <row r="4" spans="1:23" ht="14.95" customHeight="1">
      <c r="A4" s="118" t="s">
        <v>1031</v>
      </c>
      <c r="B4" s="46"/>
      <c r="C4" s="1183">
        <f>(4+COS(W4))*C2</f>
        <v>60</v>
      </c>
      <c r="D4" s="21" t="s">
        <v>969</v>
      </c>
      <c r="V4" t="s">
        <v>1033</v>
      </c>
      <c r="W4">
        <f>C3/360*2*PI()</f>
        <v>0</v>
      </c>
    </row>
    <row r="5" spans="1:23" ht="14.95" customHeight="1">
      <c r="A5" s="118" t="s">
        <v>1032</v>
      </c>
      <c r="B5" s="46"/>
      <c r="C5" s="187">
        <f>C2*4</f>
        <v>48</v>
      </c>
      <c r="D5" s="21" t="s">
        <v>969</v>
      </c>
    </row>
    <row r="6" spans="1:23" ht="14.95" customHeight="1">
      <c r="A6" s="118" t="s">
        <v>1034</v>
      </c>
      <c r="B6" s="48" t="s">
        <v>1035</v>
      </c>
      <c r="C6" s="187">
        <f>MAX((7*C2),80)</f>
        <v>84</v>
      </c>
      <c r="D6" s="21" t="s">
        <v>969</v>
      </c>
    </row>
    <row r="7" spans="1:23" ht="14.95" customHeight="1">
      <c r="A7" s="118" t="s">
        <v>1036</v>
      </c>
      <c r="B7" s="48" t="s">
        <v>41</v>
      </c>
      <c r="C7" s="187">
        <f>MAX((1+6*SIN(W4))*C2,(4*C2))</f>
        <v>48</v>
      </c>
      <c r="D7" s="21"/>
    </row>
    <row r="8" spans="1:23" ht="14.95" customHeight="1">
      <c r="A8" s="118" t="s">
        <v>1036</v>
      </c>
      <c r="B8" s="186" t="s">
        <v>1203</v>
      </c>
      <c r="C8" s="187">
        <f>C2*4</f>
        <v>48</v>
      </c>
      <c r="D8" s="21" t="s">
        <v>969</v>
      </c>
    </row>
    <row r="9" spans="1:23" ht="14.95" customHeight="1">
      <c r="A9" s="118" t="s">
        <v>1037</v>
      </c>
      <c r="B9" s="48" t="s">
        <v>1038</v>
      </c>
      <c r="C9" s="187">
        <f>MAX((2+2*SIN(W4))*C2,(3*C2))</f>
        <v>36</v>
      </c>
      <c r="D9" s="21" t="s">
        <v>969</v>
      </c>
    </row>
    <row r="10" spans="1:23" ht="14.95" customHeight="1" thickBot="1">
      <c r="A10" s="119" t="s">
        <v>1039</v>
      </c>
      <c r="B10" s="49"/>
      <c r="C10" s="188">
        <f>3*C2</f>
        <v>36</v>
      </c>
      <c r="D10" s="51" t="s">
        <v>969</v>
      </c>
    </row>
    <row r="11" spans="1:23" ht="14.95" customHeight="1"/>
    <row r="12" spans="1:23" ht="0.7" customHeight="1">
      <c r="A12" s="126"/>
      <c r="B12" s="183"/>
      <c r="C12" s="210"/>
      <c r="D12" s="122"/>
    </row>
    <row r="13" spans="1:23" ht="0.7" customHeight="1">
      <c r="A13" s="126"/>
      <c r="B13" s="183"/>
      <c r="C13" s="122"/>
      <c r="D13" s="191"/>
    </row>
    <row r="14" spans="1:23" ht="0.7" customHeight="1">
      <c r="A14" s="126"/>
      <c r="B14" s="183"/>
      <c r="C14" s="122"/>
      <c r="D14" s="191"/>
    </row>
    <row r="15" spans="1:23" ht="0.7" customHeight="1">
      <c r="A15" s="126"/>
      <c r="B15" s="211"/>
      <c r="C15" s="122"/>
      <c r="D15" s="191"/>
    </row>
    <row r="16" spans="1:23" ht="14.95" customHeight="1">
      <c r="A16" s="126"/>
      <c r="B16" s="211"/>
      <c r="C16" s="122"/>
      <c r="D16" s="191"/>
    </row>
    <row r="17" spans="1:23" ht="14.95" customHeight="1">
      <c r="A17" s="126"/>
      <c r="B17" s="211"/>
      <c r="C17" s="122"/>
      <c r="D17" s="191"/>
    </row>
    <row r="18" spans="1:23" ht="14.95" customHeight="1">
      <c r="A18" s="126"/>
      <c r="B18" s="212"/>
      <c r="C18" s="122"/>
      <c r="D18" s="191"/>
    </row>
    <row r="19" spans="1:23" ht="14.95" customHeight="1"/>
    <row r="20" spans="1:23" ht="14.95" customHeight="1">
      <c r="A20" s="1539" t="s">
        <v>1249</v>
      </c>
      <c r="B20" s="1360"/>
      <c r="C20" s="1360"/>
      <c r="D20" s="1540"/>
    </row>
    <row r="21" spans="1:23" ht="14.95" customHeight="1">
      <c r="A21" s="213" t="s">
        <v>1148</v>
      </c>
      <c r="B21" s="1545">
        <v>6</v>
      </c>
      <c r="C21" s="1546"/>
      <c r="D21" s="214" t="s">
        <v>969</v>
      </c>
      <c r="V21" t="s">
        <v>1033</v>
      </c>
      <c r="W21">
        <f>B22/360*2*PI()</f>
        <v>0</v>
      </c>
    </row>
    <row r="22" spans="1:23" ht="14.3">
      <c r="A22" s="157" t="s">
        <v>1152</v>
      </c>
      <c r="B22" s="1547">
        <v>0</v>
      </c>
      <c r="C22" s="1548"/>
      <c r="D22" s="216" t="s">
        <v>1030</v>
      </c>
      <c r="W22">
        <f>COS(W21)</f>
        <v>1</v>
      </c>
    </row>
    <row r="23" spans="1:23" ht="13.6" thickBot="1">
      <c r="B23" s="1541" t="s">
        <v>18</v>
      </c>
      <c r="C23" s="1541"/>
      <c r="D23" s="217" t="s">
        <v>19</v>
      </c>
      <c r="E23" s="217" t="s">
        <v>20</v>
      </c>
      <c r="F23" s="217" t="s">
        <v>21</v>
      </c>
    </row>
    <row r="24" spans="1:23" ht="14.3">
      <c r="A24" s="218" t="s">
        <v>1031</v>
      </c>
      <c r="B24" s="1542">
        <f t="shared" ref="B24:B29" si="0">D51</f>
        <v>42</v>
      </c>
      <c r="C24" s="1542"/>
      <c r="D24" s="219">
        <f t="shared" ref="D24:D29" si="1">G51</f>
        <v>35.699999999999996</v>
      </c>
      <c r="E24" s="219">
        <f t="shared" ref="E24:E29" si="2">B24*0.7</f>
        <v>29.4</v>
      </c>
      <c r="F24" s="219">
        <f t="shared" ref="F24:F29" si="3">E24*0.7</f>
        <v>20.58</v>
      </c>
      <c r="G24" s="220" t="s">
        <v>969</v>
      </c>
      <c r="J24" s="76" t="s">
        <v>1084</v>
      </c>
      <c r="K24" s="176"/>
    </row>
    <row r="25" spans="1:23" ht="14.3">
      <c r="A25" s="221" t="s">
        <v>1032</v>
      </c>
      <c r="B25" s="1538">
        <f t="shared" si="0"/>
        <v>18</v>
      </c>
      <c r="C25" s="1538"/>
      <c r="D25" s="187">
        <f t="shared" si="1"/>
        <v>15.299999999999999</v>
      </c>
      <c r="E25" s="187">
        <f t="shared" si="2"/>
        <v>12.6</v>
      </c>
      <c r="F25" s="187">
        <f t="shared" si="3"/>
        <v>8.8199999999999985</v>
      </c>
      <c r="G25" s="21" t="s">
        <v>969</v>
      </c>
      <c r="J25" s="76" t="s">
        <v>1085</v>
      </c>
      <c r="K25" s="9"/>
    </row>
    <row r="26" spans="1:23" ht="13.6" customHeight="1">
      <c r="A26" s="221" t="s">
        <v>1034</v>
      </c>
      <c r="B26" s="1538">
        <f t="shared" si="0"/>
        <v>72</v>
      </c>
      <c r="C26" s="1538"/>
      <c r="D26" s="187">
        <f t="shared" si="1"/>
        <v>61.199999999999996</v>
      </c>
      <c r="E26" s="187">
        <f t="shared" si="2"/>
        <v>50.4</v>
      </c>
      <c r="F26" s="187">
        <f t="shared" si="3"/>
        <v>35.279999999999994</v>
      </c>
      <c r="G26" s="21" t="s">
        <v>969</v>
      </c>
    </row>
    <row r="27" spans="1:23" ht="13.6" customHeight="1" thickBot="1">
      <c r="A27" s="221" t="s">
        <v>1036</v>
      </c>
      <c r="B27" s="1538">
        <f t="shared" si="0"/>
        <v>42</v>
      </c>
      <c r="C27" s="1538"/>
      <c r="D27" s="187">
        <f t="shared" si="1"/>
        <v>35.699999999999996</v>
      </c>
      <c r="E27" s="187">
        <f t="shared" si="2"/>
        <v>29.4</v>
      </c>
      <c r="F27" s="187">
        <f t="shared" si="3"/>
        <v>20.58</v>
      </c>
      <c r="G27" s="21" t="s">
        <v>969</v>
      </c>
    </row>
    <row r="28" spans="1:23" ht="13.6" customHeight="1" thickBot="1">
      <c r="A28" s="221" t="s">
        <v>1037</v>
      </c>
      <c r="B28" s="1538">
        <f t="shared" si="0"/>
        <v>18</v>
      </c>
      <c r="C28" s="1538"/>
      <c r="D28" s="187">
        <f t="shared" si="1"/>
        <v>15.299999999999999</v>
      </c>
      <c r="E28" s="187">
        <f t="shared" si="2"/>
        <v>12.6</v>
      </c>
      <c r="F28" s="187">
        <f t="shared" si="3"/>
        <v>8.8199999999999985</v>
      </c>
      <c r="G28" s="21" t="s">
        <v>969</v>
      </c>
      <c r="I28" s="1417" t="s">
        <v>1142</v>
      </c>
      <c r="J28" s="1418"/>
      <c r="K28" s="1419"/>
    </row>
    <row r="29" spans="1:23" ht="13.6" customHeight="1" thickBot="1">
      <c r="A29" s="222" t="s">
        <v>1039</v>
      </c>
      <c r="B29" s="1537">
        <f t="shared" si="0"/>
        <v>18</v>
      </c>
      <c r="C29" s="1537"/>
      <c r="D29" s="188">
        <f t="shared" si="1"/>
        <v>15.299999999999999</v>
      </c>
      <c r="E29" s="188">
        <f t="shared" si="2"/>
        <v>12.6</v>
      </c>
      <c r="F29" s="188">
        <f t="shared" si="3"/>
        <v>8.8199999999999985</v>
      </c>
      <c r="G29" s="51" t="s">
        <v>969</v>
      </c>
    </row>
    <row r="30" spans="1:23" ht="13.6" customHeight="1"/>
    <row r="31" spans="1:23" ht="13.6" customHeight="1"/>
    <row r="32" spans="1:23" ht="13.6" customHeight="1"/>
    <row r="33" spans="1:8" ht="13.6" customHeight="1"/>
    <row r="34" spans="1:8" ht="13.6" customHeight="1"/>
    <row r="35" spans="1:8" ht="13.6" customHeight="1"/>
    <row r="36" spans="1:8" ht="13.6" customHeight="1"/>
    <row r="37" spans="1:8" ht="13.6" customHeight="1"/>
    <row r="38" spans="1:8" ht="13.6" customHeight="1"/>
    <row r="48" spans="1:8" ht="14.3">
      <c r="A48" s="126"/>
      <c r="B48" s="1535" t="s">
        <v>1149</v>
      </c>
      <c r="C48" s="1536"/>
      <c r="D48" s="120" t="s">
        <v>1150</v>
      </c>
      <c r="E48" s="1535" t="s">
        <v>1149</v>
      </c>
      <c r="F48" s="1536"/>
      <c r="G48" s="120" t="s">
        <v>1150</v>
      </c>
      <c r="H48" s="122"/>
    </row>
    <row r="49" spans="1:8" ht="14.3">
      <c r="A49" s="126"/>
      <c r="B49" s="1528" t="s">
        <v>1175</v>
      </c>
      <c r="C49" s="1529"/>
      <c r="D49" s="1530"/>
      <c r="E49" s="1528" t="s">
        <v>1176</v>
      </c>
      <c r="F49" s="1529"/>
      <c r="G49" s="1530"/>
      <c r="H49" s="122"/>
    </row>
    <row r="50" spans="1:8" ht="15.65">
      <c r="A50" s="126"/>
      <c r="B50" s="125" t="s">
        <v>1151</v>
      </c>
      <c r="C50" s="125" t="s">
        <v>1153</v>
      </c>
      <c r="D50" s="171"/>
      <c r="E50" s="125" t="s">
        <v>1151</v>
      </c>
      <c r="F50" s="125" t="s">
        <v>1153</v>
      </c>
      <c r="G50" s="171"/>
      <c r="H50" s="123"/>
    </row>
    <row r="51" spans="1:8" ht="14.3">
      <c r="A51" s="124" t="s">
        <v>1031</v>
      </c>
      <c r="B51" s="209">
        <f>IF(B21&lt;5,((COS(W21)*5)+5)*B21,((COS(W21)*7)+5))*B21</f>
        <v>72</v>
      </c>
      <c r="C51" s="209">
        <f>((COS(W21)*8)+7)*B21</f>
        <v>90</v>
      </c>
      <c r="D51" s="209">
        <f>((COS(W21)*3)+4)*B21</f>
        <v>42</v>
      </c>
      <c r="E51" s="172">
        <f t="shared" ref="E51:G56" si="4">B51*0.85</f>
        <v>61.199999999999996</v>
      </c>
      <c r="F51" s="172">
        <f t="shared" si="4"/>
        <v>76.5</v>
      </c>
      <c r="G51" s="172">
        <f t="shared" si="4"/>
        <v>35.699999999999996</v>
      </c>
      <c r="H51" s="121" t="s">
        <v>969</v>
      </c>
    </row>
    <row r="52" spans="1:8" ht="14.3">
      <c r="A52" s="124" t="s">
        <v>1032</v>
      </c>
      <c r="B52" s="209">
        <f>5*B21</f>
        <v>30</v>
      </c>
      <c r="C52" s="209">
        <f>7*B21</f>
        <v>42</v>
      </c>
      <c r="D52" s="209">
        <f>((SIN(W21)+3))*B21</f>
        <v>18</v>
      </c>
      <c r="E52" s="172">
        <f t="shared" si="4"/>
        <v>25.5</v>
      </c>
      <c r="F52" s="172">
        <f t="shared" si="4"/>
        <v>35.699999999999996</v>
      </c>
      <c r="G52" s="172">
        <f t="shared" si="4"/>
        <v>15.299999999999999</v>
      </c>
      <c r="H52" s="121" t="s">
        <v>969</v>
      </c>
    </row>
    <row r="53" spans="1:8" ht="14.3">
      <c r="A53" s="124" t="s">
        <v>1034</v>
      </c>
      <c r="B53" s="209">
        <f>((COS(W21)*5)+10)*B21</f>
        <v>90</v>
      </c>
      <c r="C53" s="209">
        <f>((COS(W21)*5)+15)*B21</f>
        <v>120</v>
      </c>
      <c r="D53" s="209">
        <f>((COS(W21)*5)+7)*B21</f>
        <v>72</v>
      </c>
      <c r="E53" s="172">
        <f t="shared" si="4"/>
        <v>76.5</v>
      </c>
      <c r="F53" s="172">
        <f t="shared" si="4"/>
        <v>102</v>
      </c>
      <c r="G53" s="172">
        <f t="shared" si="4"/>
        <v>61.199999999999996</v>
      </c>
      <c r="H53" s="121" t="s">
        <v>969</v>
      </c>
    </row>
    <row r="54" spans="1:8" ht="14.3">
      <c r="A54" s="124" t="s">
        <v>1036</v>
      </c>
      <c r="B54" s="209">
        <f>10*B21</f>
        <v>60</v>
      </c>
      <c r="C54" s="209">
        <f>15*B21</f>
        <v>90</v>
      </c>
      <c r="D54" s="209">
        <f>7*B21</f>
        <v>42</v>
      </c>
      <c r="E54" s="172">
        <f t="shared" si="4"/>
        <v>51</v>
      </c>
      <c r="F54" s="172">
        <f t="shared" si="4"/>
        <v>76.5</v>
      </c>
      <c r="G54" s="172">
        <f t="shared" si="4"/>
        <v>35.699999999999996</v>
      </c>
      <c r="H54" s="121" t="s">
        <v>969</v>
      </c>
    </row>
    <row r="55" spans="1:8" ht="14.3">
      <c r="A55" s="124" t="s">
        <v>1037</v>
      </c>
      <c r="B55" s="209">
        <f>((SIN(W21)*5)+5)*B21</f>
        <v>30</v>
      </c>
      <c r="C55" s="209">
        <f>((SIN(W21)*5)+7)*B21</f>
        <v>42</v>
      </c>
      <c r="D55" s="209">
        <f>((SIN(W21)*4)+3)*B21</f>
        <v>18</v>
      </c>
      <c r="E55" s="172">
        <f t="shared" si="4"/>
        <v>25.5</v>
      </c>
      <c r="F55" s="172">
        <f t="shared" si="4"/>
        <v>35.699999999999996</v>
      </c>
      <c r="G55" s="172">
        <f t="shared" si="4"/>
        <v>15.299999999999999</v>
      </c>
      <c r="H55" s="121" t="s">
        <v>969</v>
      </c>
    </row>
    <row r="56" spans="1:8" ht="14.3">
      <c r="A56" s="124" t="s">
        <v>1039</v>
      </c>
      <c r="B56" s="209">
        <f>5*B21</f>
        <v>30</v>
      </c>
      <c r="C56" s="209">
        <f>7*B21</f>
        <v>42</v>
      </c>
      <c r="D56" s="209">
        <f>3*B21</f>
        <v>18</v>
      </c>
      <c r="E56" s="172">
        <f t="shared" si="4"/>
        <v>25.5</v>
      </c>
      <c r="F56" s="172">
        <f t="shared" si="4"/>
        <v>35.699999999999996</v>
      </c>
      <c r="G56" s="172">
        <f t="shared" si="4"/>
        <v>15.299999999999999</v>
      </c>
      <c r="H56" s="121" t="s">
        <v>969</v>
      </c>
    </row>
  </sheetData>
  <mergeCells count="17">
    <mergeCell ref="B22:C22"/>
    <mergeCell ref="B25:C25"/>
    <mergeCell ref="B26:C26"/>
    <mergeCell ref="B27:C27"/>
    <mergeCell ref="B28:C28"/>
    <mergeCell ref="A1:D1"/>
    <mergeCell ref="A20:D20"/>
    <mergeCell ref="B23:C23"/>
    <mergeCell ref="B24:C24"/>
    <mergeCell ref="A2:B2"/>
    <mergeCell ref="B21:C21"/>
    <mergeCell ref="B29:C29"/>
    <mergeCell ref="B49:D49"/>
    <mergeCell ref="E49:G49"/>
    <mergeCell ref="I28:K28"/>
    <mergeCell ref="B48:C48"/>
    <mergeCell ref="E48:F48"/>
  </mergeCells>
  <phoneticPr fontId="2" type="noConversion"/>
  <hyperlinks>
    <hyperlink ref="I28" location="MENU!A1" display="RETOUR MENU"/>
    <hyperlink ref="I28:K28" location="'M3'!A1" display="RETOUR MENU"/>
  </hyperlinks>
  <pageMargins left="0.78740157499999996" right="0.78740157499999996" top="0.984251969" bottom="0.984251969" header="0.4921259845" footer="0.4921259845"/>
  <pageSetup paperSize="9" orientation="portrait" horizontalDpi="4294967293" r:id="rId1"/>
  <headerFooter alignWithMargins="0"/>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1"/>
  <dimension ref="A1:AF34"/>
  <sheetViews>
    <sheetView workbookViewId="0">
      <selection activeCell="F3" sqref="F3"/>
    </sheetView>
  </sheetViews>
  <sheetFormatPr baseColWidth="10" defaultRowHeight="12.9"/>
  <cols>
    <col min="1" max="1" width="5.375" customWidth="1"/>
    <col min="2" max="2" width="47.75" customWidth="1"/>
    <col min="3" max="3" width="9.125" customWidth="1"/>
    <col min="4" max="4" width="11" customWidth="1"/>
    <col min="5" max="5" width="17.375" customWidth="1"/>
    <col min="6" max="6" width="38.375" customWidth="1"/>
    <col min="7" max="7" width="7" customWidth="1"/>
    <col min="23" max="24" width="8.875" customWidth="1"/>
    <col min="25" max="25" width="11.25" customWidth="1"/>
    <col min="29" max="29" width="12" bestFit="1" customWidth="1"/>
    <col min="31" max="31" width="15.875" customWidth="1"/>
  </cols>
  <sheetData>
    <row r="1" spans="1:24" ht="21.1" customHeight="1" thickBot="1">
      <c r="A1" s="1549" t="s">
        <v>13</v>
      </c>
      <c r="B1" s="1550"/>
      <c r="C1" s="1550"/>
      <c r="D1" s="1550"/>
      <c r="E1" s="1551"/>
    </row>
    <row r="2" spans="1:24" ht="14.95" hidden="1" customHeight="1" thickBot="1">
      <c r="A2" s="1552" t="s">
        <v>973</v>
      </c>
      <c r="B2" s="132" t="s">
        <v>1158</v>
      </c>
      <c r="C2" s="133" t="s">
        <v>1000</v>
      </c>
      <c r="D2" s="146" t="s">
        <v>991</v>
      </c>
      <c r="E2" s="134" t="s">
        <v>1011</v>
      </c>
      <c r="F2" s="127" t="s">
        <v>1142</v>
      </c>
    </row>
    <row r="3" spans="1:24" ht="14.95" customHeight="1" thickBot="1">
      <c r="A3" s="1493"/>
      <c r="B3" s="17" t="s">
        <v>1154</v>
      </c>
      <c r="C3" s="30" t="s">
        <v>1156</v>
      </c>
      <c r="D3" s="147" t="s">
        <v>980</v>
      </c>
      <c r="E3" s="178" t="s">
        <v>1155</v>
      </c>
      <c r="F3" s="127" t="s">
        <v>1142</v>
      </c>
    </row>
    <row r="4" spans="1:24" ht="14.95" customHeight="1" thickBot="1">
      <c r="A4" s="1493"/>
      <c r="B4" s="17" t="s">
        <v>36</v>
      </c>
      <c r="C4" s="30" t="s">
        <v>11</v>
      </c>
      <c r="D4" s="147" t="s">
        <v>12</v>
      </c>
      <c r="E4" s="178" t="s">
        <v>10</v>
      </c>
      <c r="F4" s="135"/>
    </row>
    <row r="5" spans="1:24" ht="14.95" customHeight="1">
      <c r="A5" s="1494"/>
      <c r="B5" s="3" t="s">
        <v>966</v>
      </c>
      <c r="C5" s="31" t="s">
        <v>967</v>
      </c>
      <c r="D5" s="151">
        <v>320</v>
      </c>
      <c r="E5" s="35" t="s">
        <v>968</v>
      </c>
      <c r="F5" s="598" t="s">
        <v>1181</v>
      </c>
      <c r="G5" s="1561">
        <f>MAX(AF22:AF23)</f>
        <v>31.5</v>
      </c>
    </row>
    <row r="6" spans="1:24" ht="14.95" customHeight="1">
      <c r="A6" s="1494"/>
      <c r="B6" s="3" t="s">
        <v>1178</v>
      </c>
      <c r="C6" s="32" t="s">
        <v>953</v>
      </c>
      <c r="D6" s="148">
        <v>35</v>
      </c>
      <c r="E6" s="35" t="s">
        <v>969</v>
      </c>
      <c r="F6" s="599" t="s">
        <v>55</v>
      </c>
      <c r="G6" s="1562"/>
    </row>
    <row r="7" spans="1:24" ht="14.95" customHeight="1" thickBot="1">
      <c r="A7" s="1494"/>
      <c r="B7" s="3" t="s">
        <v>1179</v>
      </c>
      <c r="C7" s="32" t="s">
        <v>952</v>
      </c>
      <c r="D7" s="148">
        <v>50</v>
      </c>
      <c r="E7" s="35" t="s">
        <v>969</v>
      </c>
      <c r="F7" s="1559" t="s">
        <v>613</v>
      </c>
      <c r="G7" s="1560"/>
    </row>
    <row r="8" spans="1:24" ht="14.95" customHeight="1">
      <c r="A8" s="1494"/>
      <c r="B8" s="3" t="s">
        <v>1180</v>
      </c>
      <c r="C8" s="32" t="s">
        <v>1075</v>
      </c>
      <c r="D8" s="148">
        <v>35</v>
      </c>
      <c r="E8" s="35" t="s">
        <v>969</v>
      </c>
      <c r="F8" s="184"/>
      <c r="G8" s="597"/>
    </row>
    <row r="9" spans="1:24" ht="14.95" hidden="1" customHeight="1">
      <c r="A9" s="1494"/>
      <c r="B9" s="3" t="s">
        <v>956</v>
      </c>
      <c r="C9" s="33" t="s">
        <v>957</v>
      </c>
      <c r="D9" s="148">
        <v>0</v>
      </c>
      <c r="E9" s="35" t="s">
        <v>970</v>
      </c>
      <c r="F9" s="212"/>
      <c r="G9" s="595"/>
    </row>
    <row r="10" spans="1:24" ht="14.95" hidden="1" customHeight="1">
      <c r="A10" s="1494"/>
      <c r="B10" s="3" t="s">
        <v>959</v>
      </c>
      <c r="C10" s="33" t="s">
        <v>958</v>
      </c>
      <c r="D10" s="148">
        <v>0</v>
      </c>
      <c r="E10" s="35" t="s">
        <v>970</v>
      </c>
      <c r="F10" s="184" t="s">
        <v>595</v>
      </c>
      <c r="G10" s="596"/>
    </row>
    <row r="11" spans="1:24" ht="14.95" customHeight="1" thickBot="1">
      <c r="A11" s="1494"/>
      <c r="B11" s="3" t="s">
        <v>1177</v>
      </c>
      <c r="C11" s="32" t="s">
        <v>954</v>
      </c>
      <c r="D11" s="149">
        <v>4.5</v>
      </c>
      <c r="E11" s="35" t="s">
        <v>969</v>
      </c>
      <c r="F11" s="184"/>
      <c r="G11" s="381"/>
    </row>
    <row r="12" spans="1:24" ht="14.95" customHeight="1" thickBot="1">
      <c r="A12" s="1494"/>
      <c r="B12" s="3" t="s">
        <v>1024</v>
      </c>
      <c r="C12" s="32" t="s">
        <v>1025</v>
      </c>
      <c r="D12" s="300">
        <v>1.1000000000000001</v>
      </c>
      <c r="E12" s="35"/>
      <c r="F12" s="1557" t="s">
        <v>539</v>
      </c>
      <c r="G12" s="1558"/>
      <c r="X12" s="1" t="e">
        <f>IF(#REF!="R",(1.35+(0.015*D6)),IF(#REF!="F",(0.9+(0.015*D6)),TOTO))</f>
        <v>#REF!</v>
      </c>
    </row>
    <row r="13" spans="1:24" ht="14.95" customHeight="1" thickBot="1">
      <c r="A13" s="18"/>
      <c r="B13" s="5" t="s">
        <v>947</v>
      </c>
      <c r="C13" s="6" t="s">
        <v>964</v>
      </c>
      <c r="D13" s="241">
        <f>X24</f>
        <v>16.710909089428725</v>
      </c>
      <c r="E13" s="19" t="s">
        <v>971</v>
      </c>
    </row>
    <row r="14" spans="1:24" ht="14.95" customHeight="1">
      <c r="A14" s="18"/>
      <c r="B14" s="5" t="s">
        <v>948</v>
      </c>
      <c r="C14" s="6" t="s">
        <v>965</v>
      </c>
      <c r="D14" s="16">
        <f>X25</f>
        <v>16.710909089428725</v>
      </c>
      <c r="E14" s="19" t="s">
        <v>971</v>
      </c>
      <c r="F14" s="600" t="s">
        <v>540</v>
      </c>
      <c r="G14" s="497">
        <f>D11*6</f>
        <v>27</v>
      </c>
    </row>
    <row r="15" spans="1:24" ht="14.95" customHeight="1" thickBot="1">
      <c r="A15" s="18"/>
      <c r="B15" s="5" t="s">
        <v>960</v>
      </c>
      <c r="C15" s="7" t="s">
        <v>961</v>
      </c>
      <c r="D15" s="16">
        <f>D14/D13</f>
        <v>1</v>
      </c>
      <c r="E15" s="20"/>
      <c r="F15" s="601" t="s">
        <v>541</v>
      </c>
      <c r="G15" s="498">
        <f>D11*8</f>
        <v>36</v>
      </c>
    </row>
    <row r="16" spans="1:24" ht="14.95" customHeight="1" thickBot="1">
      <c r="A16" s="18"/>
      <c r="B16" s="5" t="s">
        <v>1157</v>
      </c>
      <c r="C16" s="8" t="s">
        <v>963</v>
      </c>
      <c r="D16" s="13">
        <f>IF(D4="L",600/600*180*D11^2.6,IF(D4="C",600/600*270*D11^2.6,"L ou C"))</f>
        <v>8987.2131278854376</v>
      </c>
      <c r="E16" s="19" t="s">
        <v>972</v>
      </c>
    </row>
    <row r="17" spans="1:32" ht="14.95" customHeight="1">
      <c r="A17" s="1553" t="s">
        <v>326</v>
      </c>
      <c r="B17" s="9" t="s">
        <v>981</v>
      </c>
      <c r="C17" s="10" t="s">
        <v>951</v>
      </c>
      <c r="D17" s="14">
        <f>(D13*D11*D6)</f>
        <v>2631.968181585024</v>
      </c>
      <c r="E17" s="21" t="s">
        <v>980</v>
      </c>
      <c r="F17" s="128" t="s">
        <v>930</v>
      </c>
      <c r="W17" s="11" t="s">
        <v>990</v>
      </c>
      <c r="X17" s="1">
        <v>1</v>
      </c>
    </row>
    <row r="18" spans="1:32" ht="14.95" customHeight="1" thickBot="1">
      <c r="A18" s="1554"/>
      <c r="B18" s="9" t="s">
        <v>981</v>
      </c>
      <c r="C18" s="10" t="s">
        <v>961</v>
      </c>
      <c r="D18" s="14">
        <f>(D14*D7*D11)</f>
        <v>3759.9545451214626</v>
      </c>
      <c r="E18" s="21" t="s">
        <v>980</v>
      </c>
      <c r="F18" s="129">
        <f>MIN(D17:D22)</f>
        <v>1173.5249992640688</v>
      </c>
      <c r="Y18" s="1" t="s">
        <v>995</v>
      </c>
      <c r="Z18" s="1" t="s">
        <v>994</v>
      </c>
    </row>
    <row r="19" spans="1:32" ht="14.95" customHeight="1">
      <c r="A19" s="1554"/>
      <c r="B19" s="9" t="s">
        <v>981</v>
      </c>
      <c r="C19" s="10" t="s">
        <v>974</v>
      </c>
      <c r="D19" s="14">
        <f>((D17/(1+D15))*X30)</f>
        <v>1358.8631537027629</v>
      </c>
      <c r="E19" s="21" t="s">
        <v>980</v>
      </c>
      <c r="F19" s="1091" t="s">
        <v>1026</v>
      </c>
      <c r="W19" s="12" t="s">
        <v>992</v>
      </c>
      <c r="X19">
        <f>D9/360*2*PI()</f>
        <v>0</v>
      </c>
      <c r="Y19" s="15">
        <f>SIN(X19)^2</f>
        <v>0</v>
      </c>
      <c r="Z19" s="15">
        <f>COS(X19)^2</f>
        <v>1</v>
      </c>
    </row>
    <row r="20" spans="1:32" ht="14.95" customHeight="1" thickBot="1">
      <c r="A20" s="1554"/>
      <c r="B20" s="9" t="s">
        <v>985</v>
      </c>
      <c r="C20" s="10" t="s">
        <v>954</v>
      </c>
      <c r="D20" s="14">
        <f>1.05*(D13*D11*D6)/(2+D15)*X31</f>
        <v>1173.5249992640688</v>
      </c>
      <c r="E20" s="21" t="s">
        <v>980</v>
      </c>
      <c r="F20" s="1092">
        <f>MIN(D17:D22)/1.3*D12</f>
        <v>992.98269168498132</v>
      </c>
      <c r="G20" s="191"/>
      <c r="W20" s="12" t="s">
        <v>993</v>
      </c>
      <c r="X20">
        <f>D10/360*2*PI()</f>
        <v>0</v>
      </c>
      <c r="Y20" s="15">
        <f>SIN(X20)^2</f>
        <v>0</v>
      </c>
      <c r="Z20" s="15">
        <f>COS(X20)^2</f>
        <v>1</v>
      </c>
    </row>
    <row r="21" spans="1:32" ht="14.95" customHeight="1">
      <c r="A21" s="1554"/>
      <c r="B21" s="9" t="s">
        <v>985</v>
      </c>
      <c r="C21" s="10" t="s">
        <v>975</v>
      </c>
      <c r="D21" s="14">
        <f>(((1.05*D13*D7*D11)/(1+(2*D15)))*X32)</f>
        <v>1498.3945238597737</v>
      </c>
      <c r="E21" s="21" t="s">
        <v>980</v>
      </c>
      <c r="W21" s="1" t="s">
        <v>996</v>
      </c>
      <c r="X21">
        <f>IF(D3="O",0.082*(1-0.01*D11)*D5*X22,(IF(D3="N",0.082*D5*D11^(-0.3),"toto")))</f>
        <v>16.710909089428725</v>
      </c>
    </row>
    <row r="22" spans="1:32" ht="14.95" customHeight="1" thickBot="1">
      <c r="A22" s="1554"/>
      <c r="B22" s="9" t="s">
        <v>986</v>
      </c>
      <c r="C22" s="10" t="s">
        <v>976</v>
      </c>
      <c r="D22" s="14">
        <f>(1.15*X33*X34)</f>
        <v>1337.0007590379646</v>
      </c>
      <c r="E22" s="21" t="s">
        <v>980</v>
      </c>
      <c r="W22" s="1" t="s">
        <v>1002</v>
      </c>
      <c r="X22">
        <v>1</v>
      </c>
      <c r="AB22" t="s">
        <v>1160</v>
      </c>
      <c r="AC22">
        <f>0.00002*D5*D5</f>
        <v>2.048</v>
      </c>
      <c r="AE22" t="s">
        <v>1168</v>
      </c>
      <c r="AF22">
        <f>7*D11</f>
        <v>31.5</v>
      </c>
    </row>
    <row r="23" spans="1:32" ht="14.95" customHeight="1">
      <c r="A23" s="1554"/>
      <c r="B23" s="22" t="s">
        <v>984</v>
      </c>
      <c r="C23" s="23" t="s">
        <v>977</v>
      </c>
      <c r="D23" s="24">
        <f>D17</f>
        <v>2631.968181585024</v>
      </c>
      <c r="E23" s="25" t="s">
        <v>980</v>
      </c>
      <c r="F23" s="130" t="s">
        <v>931</v>
      </c>
      <c r="W23" s="1" t="s">
        <v>996</v>
      </c>
      <c r="X23">
        <f>X21*X22</f>
        <v>16.710909089428725</v>
      </c>
      <c r="AB23" t="s">
        <v>1161</v>
      </c>
      <c r="AC23">
        <f>AC22*3.5</f>
        <v>7.1680000000000001</v>
      </c>
      <c r="AE23" t="s">
        <v>1169</v>
      </c>
      <c r="AF23">
        <f>((13*D11)-30)*(D5/400)</f>
        <v>22.8</v>
      </c>
    </row>
    <row r="24" spans="1:32" ht="14.95" customHeight="1" thickBot="1">
      <c r="A24" s="1554"/>
      <c r="B24" s="22" t="s">
        <v>984</v>
      </c>
      <c r="C24" s="23" t="s">
        <v>978</v>
      </c>
      <c r="D24" s="24">
        <f>D18/2</f>
        <v>1879.9772725607313</v>
      </c>
      <c r="E24" s="25" t="s">
        <v>980</v>
      </c>
      <c r="F24" s="131">
        <f>MIN(D23:D26)</f>
        <v>1173.5249992640688</v>
      </c>
      <c r="W24" s="1" t="s">
        <v>997</v>
      </c>
      <c r="X24">
        <f>X23/((X17*Y19)+Z19)</f>
        <v>16.710909089428725</v>
      </c>
      <c r="AB24" t="s">
        <v>1162</v>
      </c>
      <c r="AC24">
        <f>AC22*D11*D8</f>
        <v>322.56000000000006</v>
      </c>
      <c r="AE24" t="s">
        <v>1168</v>
      </c>
      <c r="AF24">
        <f>14*D11</f>
        <v>63</v>
      </c>
    </row>
    <row r="25" spans="1:32" ht="14.95" customHeight="1">
      <c r="A25" s="1554"/>
      <c r="B25" s="22" t="s">
        <v>987</v>
      </c>
      <c r="C25" s="23" t="s">
        <v>982</v>
      </c>
      <c r="D25" s="24">
        <f>D20</f>
        <v>1173.5249992640688</v>
      </c>
      <c r="E25" s="25" t="s">
        <v>980</v>
      </c>
      <c r="F25" s="1093" t="s">
        <v>1027</v>
      </c>
      <c r="W25" s="1" t="s">
        <v>998</v>
      </c>
      <c r="X25">
        <f>X23/((X17*Y20)+Z20)</f>
        <v>16.710909089428725</v>
      </c>
      <c r="AB25" t="s">
        <v>1163</v>
      </c>
      <c r="AC25">
        <f>AC22*D11*D6</f>
        <v>322.56000000000006</v>
      </c>
      <c r="AE25" t="s">
        <v>596</v>
      </c>
      <c r="AF25">
        <f>((13*D11)-30)*(D5/200)</f>
        <v>45.6</v>
      </c>
    </row>
    <row r="26" spans="1:32" ht="14.95" customHeight="1" thickBot="1">
      <c r="A26" s="1554"/>
      <c r="B26" s="138" t="s">
        <v>988</v>
      </c>
      <c r="C26" s="136" t="s">
        <v>983</v>
      </c>
      <c r="D26" s="54">
        <f>D22</f>
        <v>1337.0007590379646</v>
      </c>
      <c r="E26" s="137" t="s">
        <v>980</v>
      </c>
      <c r="F26" s="1094">
        <f>MIN(D23:D26)/1.3*D12</f>
        <v>992.98269168498132</v>
      </c>
      <c r="AB26" t="s">
        <v>1164</v>
      </c>
      <c r="AC26">
        <f>AC23*(D11*2.5)^2</f>
        <v>907.2</v>
      </c>
    </row>
    <row r="27" spans="1:32" ht="13.6" thickBot="1">
      <c r="A27" s="1555"/>
      <c r="B27" s="142" t="s">
        <v>1159</v>
      </c>
      <c r="C27" s="144"/>
      <c r="D27" s="255" t="str">
        <f>IF(D8&lt;(12*D11),"Calcul manuel",(MIN(AC24,AC27))*D12/1.3)</f>
        <v>Calcul manuel</v>
      </c>
      <c r="E27" s="139" t="s">
        <v>980</v>
      </c>
      <c r="W27" s="1" t="s">
        <v>1003</v>
      </c>
      <c r="X27">
        <f>D7/D6</f>
        <v>1.4285714285714286</v>
      </c>
      <c r="AB27" t="s">
        <v>1165</v>
      </c>
      <c r="AC27">
        <f>AC25+AC26</f>
        <v>1229.7600000000002</v>
      </c>
    </row>
    <row r="28" spans="1:32" ht="13.6" thickBot="1">
      <c r="A28" s="1556"/>
      <c r="B28" s="143" t="s">
        <v>1166</v>
      </c>
      <c r="C28" s="145"/>
      <c r="D28" s="331" t="str">
        <f>IF(D8&lt;(8*D11),"Calcul manuel",(MIN(AC24,AC26))*D12/1.3)</f>
        <v>Calcul manuel</v>
      </c>
      <c r="E28" s="140" t="s">
        <v>980</v>
      </c>
      <c r="F28" s="185" t="s">
        <v>932</v>
      </c>
      <c r="W28" s="1" t="s">
        <v>1004</v>
      </c>
      <c r="X28">
        <f>X27^2</f>
        <v>2.0408163265306123</v>
      </c>
    </row>
    <row r="30" spans="1:32">
      <c r="W30" s="1" t="s">
        <v>1006</v>
      </c>
      <c r="X30">
        <f>((D15+(2*D15^2)*(1+X27+X28)+((D15^3)*X28))^0.5)-(D15*(1+X27))</f>
        <v>1.0325832684530618</v>
      </c>
    </row>
    <row r="31" spans="1:32">
      <c r="W31" s="1" t="s">
        <v>1007</v>
      </c>
      <c r="X31">
        <f>((2*D15*(1+D15)+(4*D15*(2+D15)*D16)/(D13*D11*D6^2))^0.5)-D15</f>
        <v>1.2739244314521727</v>
      </c>
    </row>
    <row r="32" spans="1:32">
      <c r="W32" s="1" t="s">
        <v>1008</v>
      </c>
      <c r="X32">
        <f>((2*D15^2*(1+D15)+(4*D15*(1+2*D15)*D16)/(D13*D11*D7^2))^0.5)-D15</f>
        <v>1.1386114272532053</v>
      </c>
    </row>
    <row r="33" spans="23:24">
      <c r="W33" s="1" t="s">
        <v>1009</v>
      </c>
      <c r="X33">
        <f>(2*D15/(1+D15))^0.5</f>
        <v>1</v>
      </c>
    </row>
    <row r="34" spans="23:24">
      <c r="W34" s="1" t="s">
        <v>1010</v>
      </c>
      <c r="X34">
        <f>(2*D16*D13*D11)^0.5</f>
        <v>1162.6093556851868</v>
      </c>
    </row>
  </sheetData>
  <mergeCells count="6">
    <mergeCell ref="A1:E1"/>
    <mergeCell ref="A2:A12"/>
    <mergeCell ref="A17:A28"/>
    <mergeCell ref="F12:G12"/>
    <mergeCell ref="F7:G7"/>
    <mergeCell ref="G5:G6"/>
  </mergeCells>
  <phoneticPr fontId="2" type="noConversion"/>
  <hyperlinks>
    <hyperlink ref="F2" location="'MENU 2'!A1" display="RETOUR MENU"/>
    <hyperlink ref="F3" location="'M3'!A1" display="RETOUR MENU"/>
  </hyperlinks>
  <pageMargins left="0.78740157499999996" right="0.78740157499999996" top="0.984251969" bottom="0.984251969" header="0.4921259845" footer="0.4921259845"/>
  <pageSetup paperSize="9" orientation="portrait" horizontalDpi="4294967293" verticalDpi="300"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2"/>
  <dimension ref="A1:AF36"/>
  <sheetViews>
    <sheetView workbookViewId="0">
      <pane xSplit="15011" topLeftCell="U1"/>
      <selection activeCell="F2" sqref="F2"/>
      <selection pane="topRight" activeCell="V16" sqref="V16"/>
    </sheetView>
  </sheetViews>
  <sheetFormatPr baseColWidth="10" defaultRowHeight="12.9"/>
  <cols>
    <col min="1" max="1" width="4.125" customWidth="1"/>
    <col min="2" max="2" width="55.375" customWidth="1"/>
    <col min="3" max="3" width="11.75" customWidth="1"/>
    <col min="4" max="4" width="9.75" customWidth="1"/>
    <col min="5" max="5" width="18.75" customWidth="1"/>
    <col min="6" max="6" width="31.375" customWidth="1"/>
    <col min="7" max="7" width="8.125" customWidth="1"/>
    <col min="22" max="22" width="4.25" customWidth="1"/>
    <col min="23" max="24" width="8.875" customWidth="1"/>
    <col min="25" max="25" width="11.25" customWidth="1"/>
    <col min="29" max="29" width="12" bestFit="1" customWidth="1"/>
    <col min="31" max="31" width="15.875" customWidth="1"/>
  </cols>
  <sheetData>
    <row r="1" spans="1:24" ht="18.7" customHeight="1" thickBot="1">
      <c r="A1" s="1549" t="s">
        <v>9</v>
      </c>
      <c r="B1" s="1550"/>
      <c r="C1" s="1550"/>
      <c r="D1" s="1550"/>
      <c r="E1" s="1551"/>
    </row>
    <row r="2" spans="1:24" ht="14.95" customHeight="1" thickBot="1">
      <c r="A2" s="1552" t="s">
        <v>973</v>
      </c>
      <c r="B2" s="3" t="s">
        <v>87</v>
      </c>
      <c r="C2" s="52" t="s">
        <v>57</v>
      </c>
      <c r="D2" s="146" t="s">
        <v>545</v>
      </c>
      <c r="E2" s="242" t="s">
        <v>58</v>
      </c>
      <c r="F2" s="127" t="s">
        <v>1142</v>
      </c>
    </row>
    <row r="3" spans="1:24" ht="14.95" hidden="1" customHeight="1">
      <c r="A3" s="1493"/>
      <c r="B3" s="3" t="s">
        <v>1158</v>
      </c>
      <c r="C3" s="52" t="s">
        <v>1000</v>
      </c>
      <c r="D3" s="181" t="s">
        <v>991</v>
      </c>
      <c r="E3" s="35" t="s">
        <v>1011</v>
      </c>
      <c r="F3" s="182"/>
    </row>
    <row r="4" spans="1:24" ht="14.95" customHeight="1">
      <c r="A4" s="1493"/>
      <c r="B4" s="17" t="s">
        <v>1154</v>
      </c>
      <c r="C4" s="30" t="s">
        <v>1156</v>
      </c>
      <c r="D4" s="147" t="s">
        <v>980</v>
      </c>
      <c r="E4" s="178" t="s">
        <v>1155</v>
      </c>
      <c r="F4" s="135"/>
    </row>
    <row r="5" spans="1:24" ht="14.95" customHeight="1">
      <c r="A5" s="1493"/>
      <c r="B5" s="17" t="s">
        <v>36</v>
      </c>
      <c r="C5" s="30" t="s">
        <v>11</v>
      </c>
      <c r="D5" s="147" t="s">
        <v>12</v>
      </c>
      <c r="E5" s="34" t="s">
        <v>16</v>
      </c>
      <c r="F5" s="135"/>
    </row>
    <row r="6" spans="1:24" ht="14.95" customHeight="1">
      <c r="A6" s="1493"/>
      <c r="B6" s="17" t="s">
        <v>1170</v>
      </c>
      <c r="C6" s="31" t="s">
        <v>1171</v>
      </c>
      <c r="D6" s="151">
        <v>600</v>
      </c>
      <c r="E6" s="35" t="s">
        <v>968</v>
      </c>
      <c r="F6" s="135"/>
    </row>
    <row r="7" spans="1:24" ht="14.95" customHeight="1" thickBot="1">
      <c r="A7" s="1494"/>
      <c r="B7" s="3" t="s">
        <v>966</v>
      </c>
      <c r="C7" s="31" t="s">
        <v>1172</v>
      </c>
      <c r="D7" s="151">
        <v>450</v>
      </c>
      <c r="E7" s="35" t="s">
        <v>968</v>
      </c>
    </row>
    <row r="8" spans="1:24" ht="14.95" customHeight="1">
      <c r="A8" s="1494"/>
      <c r="B8" s="3" t="s">
        <v>1182</v>
      </c>
      <c r="C8" s="32" t="s">
        <v>953</v>
      </c>
      <c r="D8" s="148">
        <v>15</v>
      </c>
      <c r="E8" s="35" t="s">
        <v>969</v>
      </c>
      <c r="F8" s="179" t="s">
        <v>1183</v>
      </c>
      <c r="G8" s="1563">
        <f>MAX(AF24:AF25)</f>
        <v>32.0625</v>
      </c>
    </row>
    <row r="9" spans="1:24" ht="14.95" customHeight="1" thickBot="1">
      <c r="A9" s="1494"/>
      <c r="B9" s="3" t="s">
        <v>1179</v>
      </c>
      <c r="C9" s="32" t="s">
        <v>952</v>
      </c>
      <c r="D9" s="148">
        <v>40</v>
      </c>
      <c r="E9" s="35" t="s">
        <v>969</v>
      </c>
      <c r="F9" s="180" t="s">
        <v>1167</v>
      </c>
      <c r="G9" s="1564"/>
    </row>
    <row r="10" spans="1:24" ht="14.95" customHeight="1" thickBot="1">
      <c r="A10" s="1494"/>
      <c r="B10" s="3" t="s">
        <v>1180</v>
      </c>
      <c r="C10" s="32" t="s">
        <v>1075</v>
      </c>
      <c r="D10" s="148">
        <v>40</v>
      </c>
      <c r="E10" s="35" t="s">
        <v>969</v>
      </c>
      <c r="F10" s="1565" t="s">
        <v>1173</v>
      </c>
      <c r="G10" s="1566"/>
    </row>
    <row r="11" spans="1:24" ht="14.95" hidden="1" customHeight="1">
      <c r="A11" s="1494"/>
      <c r="B11" s="3" t="s">
        <v>956</v>
      </c>
      <c r="C11" s="33" t="s">
        <v>957</v>
      </c>
      <c r="D11" s="148">
        <v>0</v>
      </c>
      <c r="E11" s="35" t="s">
        <v>970</v>
      </c>
    </row>
    <row r="12" spans="1:24" ht="14.95" hidden="1" customHeight="1">
      <c r="A12" s="1494"/>
      <c r="B12" s="3" t="s">
        <v>959</v>
      </c>
      <c r="C12" s="33" t="s">
        <v>958</v>
      </c>
      <c r="D12" s="148">
        <v>0</v>
      </c>
      <c r="E12" s="35" t="s">
        <v>970</v>
      </c>
    </row>
    <row r="13" spans="1:24" ht="14.95" customHeight="1">
      <c r="A13" s="1494"/>
      <c r="B13" s="3" t="s">
        <v>1177</v>
      </c>
      <c r="C13" s="32" t="s">
        <v>954</v>
      </c>
      <c r="D13" s="149">
        <v>4.5</v>
      </c>
      <c r="E13" s="35" t="s">
        <v>969</v>
      </c>
      <c r="W13" s="1" t="s">
        <v>997</v>
      </c>
      <c r="X13">
        <f>IF(D2="C",0.11*D6*D13^(-0.3),IF(D2="B",65*D13^(-0.7)*D8^(0.1)))</f>
        <v>29.735395748838268</v>
      </c>
    </row>
    <row r="14" spans="1:24" ht="14.95" customHeight="1">
      <c r="A14" s="1494"/>
      <c r="B14" s="3" t="s">
        <v>1024</v>
      </c>
      <c r="C14" s="32" t="s">
        <v>1025</v>
      </c>
      <c r="D14" s="300">
        <v>0.9</v>
      </c>
      <c r="E14" s="35"/>
    </row>
    <row r="15" spans="1:24" ht="14.95" customHeight="1">
      <c r="A15" s="18"/>
      <c r="B15" s="5" t="s">
        <v>947</v>
      </c>
      <c r="C15" s="6" t="s">
        <v>964</v>
      </c>
      <c r="D15" s="36">
        <f>X26</f>
        <v>29.735395748838268</v>
      </c>
      <c r="E15" s="19" t="s">
        <v>971</v>
      </c>
    </row>
    <row r="16" spans="1:24" ht="14.95" customHeight="1">
      <c r="A16" s="18"/>
      <c r="B16" s="5" t="s">
        <v>948</v>
      </c>
      <c r="C16" s="6" t="s">
        <v>965</v>
      </c>
      <c r="D16" s="13">
        <f>X27</f>
        <v>23.499715907009143</v>
      </c>
      <c r="E16" s="19" t="s">
        <v>971</v>
      </c>
    </row>
    <row r="17" spans="1:32" ht="14.95" customHeight="1">
      <c r="A17" s="18"/>
      <c r="B17" s="5" t="s">
        <v>960</v>
      </c>
      <c r="C17" s="7" t="s">
        <v>961</v>
      </c>
      <c r="D17" s="16">
        <f>D16/D15</f>
        <v>0.79029437191624574</v>
      </c>
      <c r="E17" s="20"/>
    </row>
    <row r="18" spans="1:32" ht="14.95" customHeight="1" thickBot="1">
      <c r="A18" s="18"/>
      <c r="B18" s="5" t="s">
        <v>1157</v>
      </c>
      <c r="C18" s="8" t="s">
        <v>963</v>
      </c>
      <c r="D18" s="13">
        <f>IF(D5="L",180*D13^2.6,IF(D5="C",270*D13^2.6,"L ou C"))</f>
        <v>8987.2131278854376</v>
      </c>
      <c r="E18" s="19" t="s">
        <v>972</v>
      </c>
    </row>
    <row r="19" spans="1:32" ht="12.75" customHeight="1">
      <c r="A19" s="1553" t="s">
        <v>326</v>
      </c>
      <c r="B19" s="9" t="s">
        <v>981</v>
      </c>
      <c r="C19" s="46" t="s">
        <v>951</v>
      </c>
      <c r="D19" s="508">
        <f>(D15*D13*D8)</f>
        <v>2007.1392130465831</v>
      </c>
      <c r="E19" s="21" t="s">
        <v>980</v>
      </c>
      <c r="F19" s="128" t="s">
        <v>930</v>
      </c>
      <c r="W19" s="11" t="s">
        <v>990</v>
      </c>
      <c r="X19" s="1">
        <v>1</v>
      </c>
    </row>
    <row r="20" spans="1:32" ht="12.75" customHeight="1" thickBot="1">
      <c r="A20" s="1554"/>
      <c r="B20" s="9" t="s">
        <v>981</v>
      </c>
      <c r="C20" s="46" t="s">
        <v>961</v>
      </c>
      <c r="D20" s="508">
        <f>(D16*D9*D13)</f>
        <v>4229.9488632616458</v>
      </c>
      <c r="E20" s="21" t="s">
        <v>980</v>
      </c>
      <c r="F20" s="277">
        <f>MIN(D19:D24)</f>
        <v>1168.4095512705912</v>
      </c>
      <c r="Y20" s="1" t="s">
        <v>995</v>
      </c>
      <c r="Z20" s="1" t="s">
        <v>994</v>
      </c>
    </row>
    <row r="21" spans="1:32" ht="12.75" customHeight="1">
      <c r="A21" s="1554"/>
      <c r="B21" s="9" t="s">
        <v>981</v>
      </c>
      <c r="C21" s="46" t="s">
        <v>974</v>
      </c>
      <c r="D21" s="508">
        <f>((D19/(1+D17))*X32)</f>
        <v>1476.3900391821596</v>
      </c>
      <c r="E21" s="21" t="s">
        <v>980</v>
      </c>
      <c r="F21" s="1091" t="s">
        <v>1026</v>
      </c>
      <c r="W21" s="12" t="s">
        <v>992</v>
      </c>
      <c r="X21">
        <f>D11/360*2*PI()</f>
        <v>0</v>
      </c>
      <c r="Y21" s="15">
        <f>SIN(X21)^2</f>
        <v>0</v>
      </c>
      <c r="Z21" s="15">
        <f>COS(X21)^2</f>
        <v>1</v>
      </c>
    </row>
    <row r="22" spans="1:32" ht="12.75" customHeight="1" thickBot="1">
      <c r="A22" s="1554"/>
      <c r="B22" s="9" t="s">
        <v>985</v>
      </c>
      <c r="C22" s="46" t="s">
        <v>954</v>
      </c>
      <c r="D22" s="508">
        <f>1.05*(D15*D13*D8)/(2+D17)*X33</f>
        <v>1168.4095512705912</v>
      </c>
      <c r="E22" s="21" t="s">
        <v>980</v>
      </c>
      <c r="F22" s="1095">
        <f>MIN(D19:D24)/1.3*D14</f>
        <v>808.89892011040934</v>
      </c>
      <c r="W22" s="12" t="s">
        <v>993</v>
      </c>
      <c r="X22">
        <f>D12/360*2*PI()</f>
        <v>0</v>
      </c>
      <c r="Y22" s="15">
        <f>SIN(X22)^2</f>
        <v>0</v>
      </c>
      <c r="Z22" s="15">
        <f>COS(X22)^2</f>
        <v>1</v>
      </c>
    </row>
    <row r="23" spans="1:32" ht="12.75" customHeight="1">
      <c r="A23" s="1554"/>
      <c r="B23" s="9" t="s">
        <v>985</v>
      </c>
      <c r="C23" s="46" t="s">
        <v>975</v>
      </c>
      <c r="D23" s="508">
        <f>(((1.05*D15*D9*D13)/(1+(2*D17)))*X34)</f>
        <v>1776.1108350087816</v>
      </c>
      <c r="E23" s="21" t="s">
        <v>980</v>
      </c>
      <c r="W23" s="1" t="s">
        <v>996</v>
      </c>
      <c r="X23">
        <f>IF(D4="O",0.082*(1-0.01*D13)*D7*X24,(IF(D4="N",0.082*D7*D13^(-0.3),"toto")))</f>
        <v>23.499715907009143</v>
      </c>
    </row>
    <row r="24" spans="1:32" ht="12.75" customHeight="1" thickBot="1">
      <c r="A24" s="1554"/>
      <c r="B24" s="9" t="s">
        <v>986</v>
      </c>
      <c r="C24" s="46" t="s">
        <v>976</v>
      </c>
      <c r="D24" s="508">
        <f>(1.15*X35*X36)</f>
        <v>1675.7749577810621</v>
      </c>
      <c r="E24" s="21" t="s">
        <v>980</v>
      </c>
      <c r="W24" s="1" t="s">
        <v>1002</v>
      </c>
      <c r="X24">
        <v>1</v>
      </c>
      <c r="AB24" t="s">
        <v>1160</v>
      </c>
      <c r="AC24">
        <f>0.00002*D7*D7</f>
        <v>4.0500000000000007</v>
      </c>
      <c r="AE24" t="s">
        <v>1168</v>
      </c>
      <c r="AF24">
        <f>7*D13</f>
        <v>31.5</v>
      </c>
    </row>
    <row r="25" spans="1:32" ht="12.75" customHeight="1">
      <c r="A25" s="1554"/>
      <c r="B25" s="22" t="s">
        <v>984</v>
      </c>
      <c r="C25" s="278" t="s">
        <v>977</v>
      </c>
      <c r="D25" s="509">
        <f>D19</f>
        <v>2007.1392130465831</v>
      </c>
      <c r="E25" s="25" t="s">
        <v>980</v>
      </c>
      <c r="F25" s="130" t="s">
        <v>931</v>
      </c>
      <c r="W25" s="1" t="s">
        <v>996</v>
      </c>
      <c r="X25">
        <f>X23*X24</f>
        <v>23.499715907009143</v>
      </c>
      <c r="AB25" t="s">
        <v>1161</v>
      </c>
      <c r="AC25">
        <f>AC24*3.5</f>
        <v>14.175000000000002</v>
      </c>
      <c r="AE25" t="s">
        <v>1169</v>
      </c>
      <c r="AF25">
        <f>((13*D13)-30)*(D7/400)</f>
        <v>32.0625</v>
      </c>
    </row>
    <row r="26" spans="1:32" ht="12.75" customHeight="1" thickBot="1">
      <c r="A26" s="1554"/>
      <c r="B26" s="22" t="s">
        <v>984</v>
      </c>
      <c r="C26" s="278" t="s">
        <v>978</v>
      </c>
      <c r="D26" s="509">
        <f>D20/2</f>
        <v>2114.9744316308229</v>
      </c>
      <c r="E26" s="25" t="s">
        <v>980</v>
      </c>
      <c r="F26" s="276">
        <f>MIN(D25:D28)</f>
        <v>1168.4095512705912</v>
      </c>
      <c r="W26" s="1" t="s">
        <v>997</v>
      </c>
      <c r="X26">
        <f>X13</f>
        <v>29.735395748838268</v>
      </c>
      <c r="AB26" t="s">
        <v>1162</v>
      </c>
      <c r="AC26">
        <f>AC24*D13*D10</f>
        <v>729</v>
      </c>
    </row>
    <row r="27" spans="1:32" ht="12.75" customHeight="1">
      <c r="A27" s="1554"/>
      <c r="B27" s="22" t="s">
        <v>987</v>
      </c>
      <c r="C27" s="278" t="s">
        <v>982</v>
      </c>
      <c r="D27" s="509">
        <f>D22</f>
        <v>1168.4095512705912</v>
      </c>
      <c r="E27" s="25" t="s">
        <v>980</v>
      </c>
      <c r="F27" s="1093" t="s">
        <v>1027</v>
      </c>
      <c r="W27" s="1" t="s">
        <v>998</v>
      </c>
      <c r="X27">
        <f>X25/((X19*Y22)+Z22)</f>
        <v>23.499715907009143</v>
      </c>
      <c r="AB27" t="s">
        <v>1163</v>
      </c>
      <c r="AC27">
        <f>AC24*D13*D8</f>
        <v>273.375</v>
      </c>
    </row>
    <row r="28" spans="1:32" ht="12.75" customHeight="1" thickBot="1">
      <c r="A28" s="1554"/>
      <c r="B28" s="138" t="s">
        <v>988</v>
      </c>
      <c r="C28" s="279" t="s">
        <v>983</v>
      </c>
      <c r="D28" s="510">
        <f>D24</f>
        <v>1675.7749577810621</v>
      </c>
      <c r="E28" s="137" t="s">
        <v>980</v>
      </c>
      <c r="F28" s="1096">
        <f>MIN(D25:D28)/1.3*D14</f>
        <v>808.89892011040934</v>
      </c>
      <c r="AB28" t="s">
        <v>1164</v>
      </c>
      <c r="AC28">
        <f>AC25*(D13*2.5)^2</f>
        <v>1794.0234375000002</v>
      </c>
    </row>
    <row r="29" spans="1:32">
      <c r="A29" s="1555"/>
      <c r="B29" s="142" t="s">
        <v>934</v>
      </c>
      <c r="C29" s="144"/>
      <c r="D29" s="255" t="str">
        <f>IF(D10&lt;(12*D13),"manuel",(MIN(AC26,AC29))*D14/1.3)</f>
        <v>manuel</v>
      </c>
      <c r="E29" s="139" t="s">
        <v>980</v>
      </c>
      <c r="W29" s="1" t="s">
        <v>1003</v>
      </c>
      <c r="X29">
        <f>D9/D8</f>
        <v>2.6666666666666665</v>
      </c>
      <c r="AB29" t="s">
        <v>1165</v>
      </c>
      <c r="AC29">
        <f>AC27+AC28</f>
        <v>2067.3984375</v>
      </c>
    </row>
    <row r="30" spans="1:32" ht="13.6" thickBot="1">
      <c r="A30" s="1556"/>
      <c r="B30" s="143" t="s">
        <v>935</v>
      </c>
      <c r="C30" s="145"/>
      <c r="D30" s="141">
        <f>IF(D10&lt;(8*D13),"manuel",(MIN(AC26,AC28))*D14/1.3)</f>
        <v>504.69230769230768</v>
      </c>
      <c r="E30" s="140" t="s">
        <v>980</v>
      </c>
      <c r="F30" s="177" t="s">
        <v>933</v>
      </c>
      <c r="W30" s="1" t="s">
        <v>1004</v>
      </c>
      <c r="X30">
        <f>X29^2</f>
        <v>7.1111111111111107</v>
      </c>
    </row>
    <row r="32" spans="1:32">
      <c r="W32" s="1" t="s">
        <v>1006</v>
      </c>
      <c r="X32">
        <f>((D17+(2*D17^2)*(1+X29+X30)+((D17^3)*X30))^0.5)-(D17*(1+X29))</f>
        <v>1.3168856254315435</v>
      </c>
    </row>
    <row r="33" spans="23:24">
      <c r="W33" s="1" t="s">
        <v>1007</v>
      </c>
      <c r="X33">
        <f>((2*D17*(1+D17)+(4*D17*(2+D17)*D18)/(D15*D13*D8^2))^0.5)-D17</f>
        <v>1.5469573020773066</v>
      </c>
    </row>
    <row r="34" spans="23:24">
      <c r="W34" s="1" t="s">
        <v>1008</v>
      </c>
      <c r="X34">
        <f>((2*D17^2*(1+D17)+(4*D17*(1+(2*D17))*D18)/(D15*D13*D9^2))^0.5)-D17</f>
        <v>0.81555515126597078</v>
      </c>
    </row>
    <row r="35" spans="23:24">
      <c r="W35" s="1" t="s">
        <v>1009</v>
      </c>
      <c r="X35">
        <f>(2*D17/(1+D17))^0.5</f>
        <v>0.93960911077676568</v>
      </c>
    </row>
    <row r="36" spans="23:24">
      <c r="W36" s="1" t="s">
        <v>1010</v>
      </c>
      <c r="X36">
        <f>(2*D18*D15*D13)^0.5</f>
        <v>1550.8530076481952</v>
      </c>
    </row>
  </sheetData>
  <mergeCells count="5">
    <mergeCell ref="A1:E1"/>
    <mergeCell ref="A2:A14"/>
    <mergeCell ref="G8:G9"/>
    <mergeCell ref="A19:A30"/>
    <mergeCell ref="F10:G10"/>
  </mergeCells>
  <phoneticPr fontId="2" type="noConversion"/>
  <hyperlinks>
    <hyperlink ref="F2" location="'M3'!A1" display="RETOUR MENU"/>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3"/>
  <dimension ref="A1:Z41"/>
  <sheetViews>
    <sheetView workbookViewId="0">
      <selection activeCell="B24" sqref="B24"/>
    </sheetView>
  </sheetViews>
  <sheetFormatPr baseColWidth="10" defaultRowHeight="12.9"/>
  <cols>
    <col min="1" max="1" width="11.75" customWidth="1"/>
    <col min="2" max="2" width="42" customWidth="1"/>
    <col min="3" max="3" width="19.125" customWidth="1"/>
    <col min="4" max="4" width="18.75" customWidth="1"/>
    <col min="5" max="5" width="21.125" customWidth="1"/>
    <col min="6" max="6" width="30.875" customWidth="1"/>
    <col min="22" max="22" width="9.375" customWidth="1"/>
    <col min="23" max="23" width="10.875" customWidth="1"/>
    <col min="24" max="24" width="8.875" customWidth="1"/>
    <col min="25" max="25" width="11.25" customWidth="1"/>
  </cols>
  <sheetData>
    <row r="1" spans="1:6" ht="24.8" customHeight="1" thickBot="1">
      <c r="A1" s="1508" t="s">
        <v>61</v>
      </c>
      <c r="B1" s="1509"/>
      <c r="C1" s="1509"/>
      <c r="D1" s="1510"/>
      <c r="E1" s="1511"/>
    </row>
    <row r="2" spans="1:6" ht="14.95" customHeight="1">
      <c r="A2" s="1512" t="s">
        <v>973</v>
      </c>
      <c r="B2" s="17" t="s">
        <v>62</v>
      </c>
      <c r="C2" s="30" t="s">
        <v>1000</v>
      </c>
      <c r="D2" s="150" t="s">
        <v>991</v>
      </c>
      <c r="E2" s="34" t="s">
        <v>47</v>
      </c>
    </row>
    <row r="3" spans="1:6" ht="14.95" customHeight="1">
      <c r="A3" s="1513"/>
      <c r="B3" s="3" t="s">
        <v>63</v>
      </c>
      <c r="C3" s="31" t="s">
        <v>967</v>
      </c>
      <c r="D3" s="151">
        <v>450</v>
      </c>
      <c r="E3" s="35" t="s">
        <v>968</v>
      </c>
    </row>
    <row r="4" spans="1:6" ht="14.95" customHeight="1">
      <c r="A4" s="1513"/>
      <c r="B4" s="3" t="s">
        <v>67</v>
      </c>
      <c r="C4" s="32" t="s">
        <v>953</v>
      </c>
      <c r="D4" s="151">
        <v>80</v>
      </c>
      <c r="E4" s="35" t="s">
        <v>969</v>
      </c>
    </row>
    <row r="5" spans="1:6" ht="14.95" customHeight="1">
      <c r="A5" s="1513"/>
      <c r="B5" s="3" t="s">
        <v>64</v>
      </c>
      <c r="C5" s="32" t="s">
        <v>1046</v>
      </c>
      <c r="D5" s="151">
        <v>10</v>
      </c>
      <c r="E5" s="35" t="s">
        <v>969</v>
      </c>
    </row>
    <row r="6" spans="1:6" ht="14.95" customHeight="1">
      <c r="A6" s="1513"/>
      <c r="B6" s="3" t="s">
        <v>956</v>
      </c>
      <c r="C6" s="33" t="s">
        <v>957</v>
      </c>
      <c r="D6" s="151">
        <v>0</v>
      </c>
      <c r="E6" s="35" t="s">
        <v>970</v>
      </c>
    </row>
    <row r="7" spans="1:6" ht="14.95" customHeight="1">
      <c r="A7" s="1513"/>
      <c r="B7" s="3" t="s">
        <v>65</v>
      </c>
      <c r="C7" s="32" t="s">
        <v>954</v>
      </c>
      <c r="D7" s="151">
        <v>6</v>
      </c>
      <c r="E7" s="35" t="s">
        <v>969</v>
      </c>
    </row>
    <row r="8" spans="1:6" ht="14.95" customHeight="1">
      <c r="A8" s="1513"/>
      <c r="B8" s="3" t="s">
        <v>1047</v>
      </c>
      <c r="C8" s="52" t="s">
        <v>1048</v>
      </c>
      <c r="D8" s="300">
        <v>1.1000000000000001</v>
      </c>
      <c r="E8" s="35"/>
    </row>
    <row r="9" spans="1:6" ht="14.95" customHeight="1" thickBot="1">
      <c r="A9" s="1513"/>
      <c r="B9" s="3" t="s">
        <v>66</v>
      </c>
      <c r="C9" s="32" t="s">
        <v>955</v>
      </c>
      <c r="D9" s="153">
        <v>600</v>
      </c>
      <c r="E9" s="35" t="s">
        <v>971</v>
      </c>
      <c r="F9" s="2" t="s">
        <v>989</v>
      </c>
    </row>
    <row r="10" spans="1:6" ht="14.95" customHeight="1">
      <c r="A10" s="18"/>
      <c r="B10" s="5" t="s">
        <v>947</v>
      </c>
      <c r="C10" s="6" t="s">
        <v>964</v>
      </c>
      <c r="D10" s="241">
        <f>X31</f>
        <v>34.686</v>
      </c>
      <c r="E10" s="19" t="s">
        <v>971</v>
      </c>
    </row>
    <row r="11" spans="1:6" ht="14.95" customHeight="1">
      <c r="A11" s="18"/>
      <c r="B11" s="5" t="s">
        <v>1049</v>
      </c>
      <c r="C11" s="6" t="s">
        <v>1050</v>
      </c>
      <c r="D11" s="16">
        <f>D5/D7</f>
        <v>1.6666666666666667</v>
      </c>
      <c r="E11" s="19" t="s">
        <v>971</v>
      </c>
    </row>
    <row r="12" spans="1:6" ht="14.95" customHeight="1">
      <c r="A12" s="18"/>
      <c r="B12" s="5" t="s">
        <v>1157</v>
      </c>
      <c r="C12" s="8" t="s">
        <v>963</v>
      </c>
      <c r="D12" s="13">
        <f>0.3*D9*D7^2.6</f>
        <v>18987.411214261218</v>
      </c>
      <c r="E12" s="19" t="s">
        <v>972</v>
      </c>
    </row>
    <row r="13" spans="1:6" ht="14.95" customHeight="1">
      <c r="A13" s="1514" t="s">
        <v>326</v>
      </c>
      <c r="B13" s="53" t="s">
        <v>1051</v>
      </c>
      <c r="C13" s="23" t="s">
        <v>951</v>
      </c>
      <c r="D13" s="256">
        <f>((0.4)*X31*D4*D7)</f>
        <v>6659.7120000000014</v>
      </c>
      <c r="E13" s="21" t="s">
        <v>980</v>
      </c>
    </row>
    <row r="14" spans="1:6" ht="14.95" customHeight="1">
      <c r="A14" s="1515"/>
      <c r="B14" s="53" t="s">
        <v>1052</v>
      </c>
      <c r="C14" s="23" t="s">
        <v>961</v>
      </c>
      <c r="D14" s="256">
        <f>((1.15*(2*D12*X31*D7)^0.5))</f>
        <v>3232.9460049847276</v>
      </c>
      <c r="E14" s="21" t="s">
        <v>980</v>
      </c>
    </row>
    <row r="15" spans="1:6" ht="14.95" customHeight="1">
      <c r="A15" s="1515"/>
      <c r="B15" s="53" t="s">
        <v>1053</v>
      </c>
      <c r="C15" s="549" t="s">
        <v>974</v>
      </c>
      <c r="D15" s="256">
        <f>(D10*D4*D7*X36)</f>
        <v>7229.6518296666827</v>
      </c>
      <c r="E15" s="21" t="s">
        <v>980</v>
      </c>
    </row>
    <row r="16" spans="1:6" ht="14.95" customHeight="1">
      <c r="A16" s="1515"/>
      <c r="B16" s="235" t="s">
        <v>1054</v>
      </c>
      <c r="C16" s="550" t="s">
        <v>954</v>
      </c>
      <c r="D16" s="256">
        <f>((2.3*(D12*X31*D7)^0.5))</f>
        <v>4572.0760866693172</v>
      </c>
      <c r="E16" s="21" t="s">
        <v>980</v>
      </c>
    </row>
    <row r="17" spans="1:26" ht="14.95" customHeight="1">
      <c r="A17" s="1515"/>
      <c r="B17" s="235" t="s">
        <v>1072</v>
      </c>
      <c r="C17" s="550" t="s">
        <v>975</v>
      </c>
      <c r="D17" s="551">
        <f>D10*D4*D7</f>
        <v>16649.28</v>
      </c>
      <c r="E17" s="21" t="s">
        <v>980</v>
      </c>
    </row>
    <row r="18" spans="1:26" ht="14.95" customHeight="1" thickBot="1">
      <c r="A18" s="1515"/>
      <c r="B18" s="53" t="s">
        <v>35</v>
      </c>
      <c r="C18" s="278"/>
      <c r="D18" s="551">
        <f>X41</f>
        <v>6357.5828622487697</v>
      </c>
      <c r="E18" s="21" t="s">
        <v>980</v>
      </c>
    </row>
    <row r="19" spans="1:26" ht="23.95" customHeight="1" thickBot="1">
      <c r="A19" s="1515"/>
      <c r="B19" s="236" t="s">
        <v>936</v>
      </c>
      <c r="C19" s="237" t="s">
        <v>325</v>
      </c>
      <c r="D19" s="57">
        <f>IF(D11&lt;0.5,X38,(IF(D11&gt;1,X39,X41)))</f>
        <v>4572.0760866693172</v>
      </c>
      <c r="E19" s="58" t="s">
        <v>980</v>
      </c>
    </row>
    <row r="20" spans="1:26" ht="19.05" thickBot="1">
      <c r="A20" s="1516"/>
      <c r="B20" s="236" t="s">
        <v>1055</v>
      </c>
      <c r="C20" s="237" t="s">
        <v>1056</v>
      </c>
      <c r="D20" s="57">
        <f>D19/1.3*D8</f>
        <v>3868.6797656432682</v>
      </c>
      <c r="E20" s="58" t="s">
        <v>980</v>
      </c>
    </row>
    <row r="22" spans="1:26" ht="19.7">
      <c r="A22" s="59" t="s">
        <v>1057</v>
      </c>
      <c r="B22" s="60" t="s">
        <v>1058</v>
      </c>
    </row>
    <row r="23" spans="1:26" ht="13.6" thickBot="1"/>
    <row r="24" spans="1:26" ht="13.6" thickBot="1">
      <c r="B24" s="116" t="s">
        <v>1142</v>
      </c>
      <c r="W24" s="11" t="s">
        <v>990</v>
      </c>
      <c r="X24" s="1">
        <f>IF(D2="R",(1.35+(0.015*D7)),IF(D2="F",(0.9+(0.015*D7)),1))</f>
        <v>1.4400000000000002</v>
      </c>
    </row>
    <row r="25" spans="1:26">
      <c r="Y25" s="1" t="s">
        <v>995</v>
      </c>
      <c r="Z25" s="1" t="s">
        <v>994</v>
      </c>
    </row>
    <row r="26" spans="1:26" ht="13.6">
      <c r="W26" s="12" t="s">
        <v>992</v>
      </c>
      <c r="X26">
        <f>D6/360*2*PI()</f>
        <v>0</v>
      </c>
      <c r="Y26" s="15">
        <f>SIN(X26)^2</f>
        <v>0</v>
      </c>
      <c r="Z26" s="15">
        <f>COS(X26)^2</f>
        <v>1</v>
      </c>
    </row>
    <row r="27" spans="1:26" ht="13.6">
      <c r="W27" s="12"/>
      <c r="Y27" s="15"/>
      <c r="Z27" s="15"/>
    </row>
    <row r="28" spans="1:26">
      <c r="W28" s="1" t="s">
        <v>996</v>
      </c>
      <c r="X28">
        <f>IF(D2="C",(0.11*(1-0.01*D7)*X29*D3),0.082*(1-0.01*D7)*D3*Y29)</f>
        <v>34.686</v>
      </c>
    </row>
    <row r="29" spans="1:26">
      <c r="W29" s="1" t="s">
        <v>1002</v>
      </c>
      <c r="X29">
        <v>1</v>
      </c>
      <c r="Y29">
        <f>IF(X29&gt;1,1,X29)</f>
        <v>1</v>
      </c>
    </row>
    <row r="30" spans="1:26">
      <c r="W30" s="1"/>
    </row>
    <row r="31" spans="1:26">
      <c r="W31" s="1" t="s">
        <v>997</v>
      </c>
      <c r="X31">
        <f>X28/((X24*Y26)+Z26)</f>
        <v>34.686</v>
      </c>
    </row>
    <row r="32" spans="1:26">
      <c r="W32" s="1" t="s">
        <v>998</v>
      </c>
    </row>
    <row r="34" spans="23:24">
      <c r="W34" s="1"/>
    </row>
    <row r="35" spans="23:24">
      <c r="W35" s="1"/>
    </row>
    <row r="36" spans="23:24">
      <c r="W36" s="1" t="s">
        <v>1006</v>
      </c>
      <c r="X36">
        <f>((2+((4*D12)/(D10*D7*D4^2)))^0.5)-1</f>
        <v>0.43423210070745899</v>
      </c>
    </row>
    <row r="37" spans="23:24">
      <c r="W37" s="1" t="s">
        <v>1007</v>
      </c>
    </row>
    <row r="38" spans="23:24">
      <c r="W38" s="1" t="s">
        <v>1059</v>
      </c>
      <c r="X38" s="61">
        <f>MIN(D13:D14)</f>
        <v>3232.9460049847276</v>
      </c>
    </row>
    <row r="39" spans="23:24">
      <c r="W39" s="1" t="s">
        <v>1060</v>
      </c>
      <c r="X39" s="61">
        <f>MIN(D15:D16)</f>
        <v>4572.0760866693172</v>
      </c>
    </row>
    <row r="40" spans="23:24">
      <c r="W40" s="1" t="s">
        <v>1061</v>
      </c>
      <c r="X40" s="61">
        <f>X39-X38</f>
        <v>1339.1300816845896</v>
      </c>
    </row>
    <row r="41" spans="23:24">
      <c r="W41" s="1" t="s">
        <v>1062</v>
      </c>
      <c r="X41">
        <f>X40*((D11-0.5)/0.5)+X38</f>
        <v>6357.5828622487697</v>
      </c>
    </row>
  </sheetData>
  <mergeCells count="3">
    <mergeCell ref="A1:E1"/>
    <mergeCell ref="A2:A9"/>
    <mergeCell ref="A13:A20"/>
  </mergeCells>
  <phoneticPr fontId="2" type="noConversion"/>
  <hyperlinks>
    <hyperlink ref="B24" location="'M3'!A1" display="RETOUR MENU"/>
  </hyperlinks>
  <pageMargins left="0.78740157499999996" right="0.78740157499999996" top="0.984251969" bottom="0.984251969" header="0.4921259845" footer="0.4921259845"/>
  <pageSetup paperSize="9" orientation="portrait" horizontalDpi="4294967293" verticalDpi="300" r:id="rId1"/>
  <headerFooter alignWithMargins="0"/>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4"/>
  <dimension ref="A1:Y28"/>
  <sheetViews>
    <sheetView workbookViewId="0">
      <selection activeCell="F2" sqref="F2"/>
    </sheetView>
  </sheetViews>
  <sheetFormatPr baseColWidth="10" defaultRowHeight="12.9"/>
  <cols>
    <col min="1" max="1" width="4.75" customWidth="1"/>
    <col min="2" max="2" width="49.25" customWidth="1"/>
    <col min="3" max="3" width="11.25" customWidth="1"/>
    <col min="4" max="4" width="8.625" customWidth="1"/>
    <col min="5" max="5" width="22.125" customWidth="1"/>
    <col min="6" max="6" width="33.125" customWidth="1"/>
    <col min="7" max="7" width="7.875" customWidth="1"/>
    <col min="23" max="23" width="8.875" customWidth="1"/>
    <col min="24" max="24" width="12.375" customWidth="1"/>
    <col min="25" max="25" width="11.25" customWidth="1"/>
    <col min="29" max="29" width="12" bestFit="1" customWidth="1"/>
    <col min="31" max="31" width="15.875" customWidth="1"/>
  </cols>
  <sheetData>
    <row r="1" spans="1:25" ht="19.55" customHeight="1" thickBot="1">
      <c r="A1" s="1508" t="s">
        <v>1257</v>
      </c>
      <c r="B1" s="1509"/>
      <c r="C1" s="1509"/>
      <c r="D1" s="1510"/>
      <c r="E1" s="1511"/>
    </row>
    <row r="2" spans="1:25" ht="19.55" customHeight="1">
      <c r="A2" s="1568" t="s">
        <v>973</v>
      </c>
      <c r="B2" s="602" t="s">
        <v>1184</v>
      </c>
      <c r="C2" s="133" t="s">
        <v>954</v>
      </c>
      <c r="D2" s="146">
        <v>6</v>
      </c>
      <c r="E2" s="198" t="s">
        <v>969</v>
      </c>
      <c r="F2" s="1075" t="s">
        <v>1142</v>
      </c>
    </row>
    <row r="3" spans="1:25" ht="14.95" customHeight="1">
      <c r="A3" s="1569"/>
      <c r="B3" s="603" t="s">
        <v>1185</v>
      </c>
      <c r="C3" s="30" t="s">
        <v>1075</v>
      </c>
      <c r="D3" s="148">
        <v>70</v>
      </c>
      <c r="E3" s="1074" t="s">
        <v>969</v>
      </c>
      <c r="F3" s="1076" t="s">
        <v>1139</v>
      </c>
      <c r="G3" s="1073">
        <f>D2*6</f>
        <v>36</v>
      </c>
    </row>
    <row r="4" spans="1:25" ht="14.95" customHeight="1">
      <c r="A4" s="1570"/>
      <c r="B4" s="603" t="s">
        <v>966</v>
      </c>
      <c r="C4" s="31" t="s">
        <v>967</v>
      </c>
      <c r="D4" s="151">
        <v>340</v>
      </c>
      <c r="E4" s="200" t="s">
        <v>968</v>
      </c>
      <c r="F4" s="588"/>
      <c r="G4" s="589"/>
    </row>
    <row r="5" spans="1:25" ht="14.95" customHeight="1">
      <c r="A5" s="1570"/>
      <c r="B5" s="603" t="s">
        <v>1256</v>
      </c>
      <c r="C5" s="33" t="s">
        <v>1250</v>
      </c>
      <c r="D5" s="151">
        <v>90</v>
      </c>
      <c r="E5" s="200"/>
      <c r="F5" s="588"/>
      <c r="G5" s="589"/>
    </row>
    <row r="6" spans="1:25" ht="14.95" customHeight="1">
      <c r="A6" s="1570"/>
      <c r="B6" s="603" t="s">
        <v>88</v>
      </c>
      <c r="C6" s="604" t="s">
        <v>1197</v>
      </c>
      <c r="D6" s="148">
        <v>2</v>
      </c>
      <c r="E6" s="200"/>
      <c r="F6" s="183"/>
      <c r="G6" s="1572"/>
    </row>
    <row r="7" spans="1:25" ht="20.25" customHeight="1" thickBot="1">
      <c r="A7" s="1571"/>
      <c r="B7" s="1186" t="s">
        <v>1024</v>
      </c>
      <c r="C7" s="195" t="s">
        <v>1025</v>
      </c>
      <c r="D7" s="1187">
        <v>1.1000000000000001</v>
      </c>
      <c r="E7" s="642" t="s">
        <v>969</v>
      </c>
      <c r="F7" s="184"/>
      <c r="G7" s="1572"/>
    </row>
    <row r="8" spans="1:25" ht="20.25" customHeight="1" thickBot="1">
      <c r="A8" s="1573"/>
      <c r="B8" s="1191" t="s">
        <v>937</v>
      </c>
      <c r="C8" s="1192"/>
      <c r="D8" s="1193">
        <f>Y16</f>
        <v>4633.525973905007</v>
      </c>
      <c r="E8" s="220" t="s">
        <v>980</v>
      </c>
      <c r="F8" s="185" t="s">
        <v>1174</v>
      </c>
      <c r="G8" s="594"/>
    </row>
    <row r="9" spans="1:25" ht="22.6" customHeight="1">
      <c r="A9" s="1574"/>
      <c r="B9" s="1194" t="s">
        <v>614</v>
      </c>
      <c r="C9" s="1189"/>
      <c r="D9" s="1190">
        <f>D6^0.9</f>
        <v>1.8660659830736148</v>
      </c>
      <c r="E9" s="21"/>
      <c r="W9" s="1"/>
    </row>
    <row r="10" spans="1:25" ht="23.3" customHeight="1" thickBot="1">
      <c r="A10" s="1575"/>
      <c r="B10" s="1195" t="s">
        <v>605</v>
      </c>
      <c r="C10" s="1196"/>
      <c r="D10" s="1197">
        <f>D8*D7/1.3*D9</f>
        <v>7316.2397859626099</v>
      </c>
      <c r="E10" s="51" t="s">
        <v>980</v>
      </c>
      <c r="X10" t="s">
        <v>1033</v>
      </c>
      <c r="Y10">
        <f>D5/360*2*PI()+0.0000001</f>
        <v>1.5707964267948966</v>
      </c>
    </row>
    <row r="11" spans="1:25" ht="18.7" customHeight="1">
      <c r="A11" s="288"/>
      <c r="E11" s="1188" t="s">
        <v>1031</v>
      </c>
      <c r="F11" s="1073">
        <f>7*D2</f>
        <v>42</v>
      </c>
      <c r="G11" s="1184"/>
      <c r="W11" s="1"/>
      <c r="X11" t="s">
        <v>994</v>
      </c>
      <c r="Y11">
        <f>(COS(Y10))^2</f>
        <v>9.9999999994258244E-15</v>
      </c>
    </row>
    <row r="12" spans="1:25" ht="18.7" customHeight="1">
      <c r="E12" s="1185" t="s">
        <v>1032</v>
      </c>
      <c r="F12" s="1073">
        <f>5*D2</f>
        <v>30</v>
      </c>
      <c r="G12" s="1184"/>
      <c r="W12" s="1"/>
      <c r="X12" t="s">
        <v>995</v>
      </c>
      <c r="Y12">
        <f>(SIN(Y10))^2</f>
        <v>0.99999999999999001</v>
      </c>
    </row>
    <row r="13" spans="1:25" ht="18.7" customHeight="1">
      <c r="E13" s="1185" t="s">
        <v>152</v>
      </c>
      <c r="F13" s="1073">
        <f>D2*10</f>
        <v>60</v>
      </c>
      <c r="G13" s="1184"/>
      <c r="W13" s="1"/>
      <c r="X13" t="s">
        <v>1254</v>
      </c>
      <c r="Y13">
        <f>1.2*Y11+Y12</f>
        <v>1.000000000000002</v>
      </c>
    </row>
    <row r="14" spans="1:25" ht="18.7" customHeight="1">
      <c r="E14" s="1185" t="s">
        <v>1251</v>
      </c>
      <c r="F14" s="1073">
        <f>D2*4</f>
        <v>24</v>
      </c>
      <c r="G14" s="1184"/>
      <c r="W14" s="1"/>
      <c r="X14" t="s">
        <v>1255</v>
      </c>
      <c r="Y14">
        <f>MIN((D2/8),1)</f>
        <v>0.75</v>
      </c>
    </row>
    <row r="15" spans="1:25" ht="21.1">
      <c r="B15" s="289" t="s">
        <v>137</v>
      </c>
      <c r="W15" s="1"/>
      <c r="X15" t="s">
        <v>89</v>
      </c>
      <c r="Y15">
        <f>(0.52*D2^(-0.5)*D3^(-0.1)*D4^0.8)</f>
        <v>14.70960626636513</v>
      </c>
    </row>
    <row r="16" spans="1:25">
      <c r="B16" s="1567" t="s">
        <v>90</v>
      </c>
      <c r="C16" s="1254"/>
      <c r="D16" s="1254"/>
      <c r="E16" s="1254"/>
      <c r="X16" t="s">
        <v>1253</v>
      </c>
      <c r="Y16">
        <f>Y15*D2*D3*Y14/Y13</f>
        <v>4633.525973905007</v>
      </c>
    </row>
    <row r="17" spans="2:25">
      <c r="B17" s="1567" t="s">
        <v>91</v>
      </c>
      <c r="C17" s="1254"/>
      <c r="D17" s="1254"/>
      <c r="E17" s="1254"/>
    </row>
    <row r="19" spans="2:25">
      <c r="X19">
        <v>1</v>
      </c>
      <c r="Y19">
        <f>X19^0.9/X19</f>
        <v>1</v>
      </c>
    </row>
    <row r="20" spans="2:25">
      <c r="X20">
        <v>2</v>
      </c>
      <c r="Y20">
        <f t="shared" ref="Y20:Y28" si="0">X20^0.9/X20</f>
        <v>0.93303299153680741</v>
      </c>
    </row>
    <row r="21" spans="2:25">
      <c r="X21">
        <v>3</v>
      </c>
      <c r="Y21">
        <f t="shared" si="0"/>
        <v>0.89595845984076228</v>
      </c>
    </row>
    <row r="22" spans="2:25">
      <c r="X22">
        <v>4</v>
      </c>
      <c r="Y22">
        <f t="shared" si="0"/>
        <v>0.87055056329612412</v>
      </c>
    </row>
    <row r="23" spans="2:25">
      <c r="X23">
        <v>5</v>
      </c>
      <c r="Y23">
        <f t="shared" si="0"/>
        <v>0.85133992252078472</v>
      </c>
    </row>
    <row r="24" spans="2:25">
      <c r="X24">
        <v>6</v>
      </c>
      <c r="Y24">
        <f t="shared" si="0"/>
        <v>0.83595880207793705</v>
      </c>
    </row>
    <row r="25" spans="2:25">
      <c r="X25">
        <v>7</v>
      </c>
      <c r="Y25">
        <f t="shared" si="0"/>
        <v>0.82317125399304436</v>
      </c>
    </row>
    <row r="26" spans="2:25">
      <c r="X26">
        <v>8</v>
      </c>
      <c r="Y26">
        <f t="shared" si="0"/>
        <v>0.81225239635623536</v>
      </c>
    </row>
    <row r="27" spans="2:25">
      <c r="X27">
        <v>9</v>
      </c>
      <c r="Y27">
        <f t="shared" si="0"/>
        <v>0.80274156176023093</v>
      </c>
    </row>
    <row r="28" spans="2:25">
      <c r="X28">
        <v>10</v>
      </c>
      <c r="Y28">
        <f t="shared" si="0"/>
        <v>0.79432823472428171</v>
      </c>
    </row>
  </sheetData>
  <mergeCells count="6">
    <mergeCell ref="B17:E17"/>
    <mergeCell ref="A1:E1"/>
    <mergeCell ref="A2:A7"/>
    <mergeCell ref="G6:G7"/>
    <mergeCell ref="B16:E16"/>
    <mergeCell ref="A8:A10"/>
  </mergeCells>
  <phoneticPr fontId="2" type="noConversion"/>
  <hyperlinks>
    <hyperlink ref="F2" location="'M3'!A1" display="RETOUR MENU"/>
  </hyperlinks>
  <pageMargins left="0.78740157499999996" right="0.78740157499999996" top="0.984251969" bottom="0.984251969" header="0.4921259845" footer="0.4921259845"/>
  <pageSetup paperSize="9" orientation="portrait" horizontalDpi="4294967293" r:id="rId1"/>
  <headerFooter alignWithMargins="0"/>
  <cellWatches>
    <cellWatch r="A1"/>
  </cellWatches>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5"/>
  <dimension ref="A1:AA104"/>
  <sheetViews>
    <sheetView workbookViewId="0">
      <selection activeCell="A27" sqref="A27:C27"/>
    </sheetView>
  </sheetViews>
  <sheetFormatPr baseColWidth="10" defaultRowHeight="12.9"/>
  <cols>
    <col min="1" max="1" width="17" customWidth="1"/>
    <col min="2" max="2" width="14.375" customWidth="1"/>
    <col min="3" max="3" width="16" customWidth="1"/>
    <col min="4" max="4" width="15" customWidth="1"/>
    <col min="5" max="5" width="7.625" customWidth="1"/>
  </cols>
  <sheetData>
    <row r="1" spans="1:27" ht="16.5" customHeight="1">
      <c r="A1" s="593" t="s">
        <v>611</v>
      </c>
      <c r="B1" s="133" t="s">
        <v>145</v>
      </c>
      <c r="C1" s="155">
        <v>48</v>
      </c>
      <c r="D1" s="134" t="s">
        <v>969</v>
      </c>
    </row>
    <row r="2" spans="1:27" ht="14.95" customHeight="1" thickBot="1">
      <c r="A2" s="252" t="s">
        <v>1152</v>
      </c>
      <c r="B2" s="253"/>
      <c r="C2" s="156">
        <v>0</v>
      </c>
      <c r="D2" s="254" t="s">
        <v>1030</v>
      </c>
    </row>
    <row r="3" spans="1:27" ht="14.95" customHeight="1">
      <c r="A3" s="249" t="s">
        <v>1031</v>
      </c>
      <c r="B3" s="250"/>
      <c r="C3" s="246">
        <f>((COS(W10)*0.8)+1.2)*C1</f>
        <v>96</v>
      </c>
      <c r="D3" s="251" t="s">
        <v>969</v>
      </c>
      <c r="Y3" s="15">
        <v>0</v>
      </c>
      <c r="Z3" s="15">
        <f>Y1^2</f>
        <v>0</v>
      </c>
      <c r="AA3" s="15">
        <f>(1-Z3)^0.5</f>
        <v>1</v>
      </c>
    </row>
    <row r="4" spans="1:27" ht="14.95" customHeight="1">
      <c r="A4" s="244" t="s">
        <v>1032</v>
      </c>
      <c r="B4" s="46"/>
      <c r="C4" s="247">
        <f>C1*1.2</f>
        <v>57.599999999999994</v>
      </c>
      <c r="D4" s="21" t="s">
        <v>969</v>
      </c>
      <c r="Y4" s="15">
        <f>Y3+0.1</f>
        <v>0.1</v>
      </c>
      <c r="Z4" s="15">
        <f t="shared" ref="Z4:Z11" si="0">Y2^2</f>
        <v>0</v>
      </c>
      <c r="AA4" s="15">
        <f t="shared" ref="AA4:AA14" si="1">(1-Z4)^0.5</f>
        <v>1</v>
      </c>
    </row>
    <row r="5" spans="1:27" ht="14.95" customHeight="1">
      <c r="A5" s="244" t="s">
        <v>1034</v>
      </c>
      <c r="B5" s="186" t="s">
        <v>1035</v>
      </c>
      <c r="C5" s="247">
        <f>1.5*C1</f>
        <v>72</v>
      </c>
      <c r="D5" s="21" t="s">
        <v>969</v>
      </c>
      <c r="Y5" s="15">
        <f t="shared" ref="Y5:Y14" si="2">Y4+0.1</f>
        <v>0.2</v>
      </c>
      <c r="Z5" s="15">
        <f t="shared" si="0"/>
        <v>0</v>
      </c>
      <c r="AA5" s="15">
        <f t="shared" si="1"/>
        <v>1</v>
      </c>
    </row>
    <row r="6" spans="1:27" ht="14.95" customHeight="1">
      <c r="A6" s="1578" t="s">
        <v>1036</v>
      </c>
      <c r="B6" s="186" t="s">
        <v>40</v>
      </c>
      <c r="C6" s="246">
        <f>((SIN(W10)*1.6)+0.4)*C1</f>
        <v>19.200000000000003</v>
      </c>
      <c r="D6" s="21" t="s">
        <v>969</v>
      </c>
      <c r="Y6" s="15">
        <f t="shared" si="2"/>
        <v>0.30000000000000004</v>
      </c>
      <c r="Z6" s="15">
        <f t="shared" si="0"/>
        <v>1.0000000000000002E-2</v>
      </c>
      <c r="AA6" s="15">
        <f t="shared" si="1"/>
        <v>0.99498743710661997</v>
      </c>
    </row>
    <row r="7" spans="1:27" ht="14.95" customHeight="1">
      <c r="A7" s="1330"/>
      <c r="B7" s="186" t="s">
        <v>41</v>
      </c>
      <c r="C7" s="247">
        <f>C1*1.2</f>
        <v>57.599999999999994</v>
      </c>
      <c r="D7" s="21" t="s">
        <v>969</v>
      </c>
      <c r="Y7" s="15">
        <f t="shared" si="2"/>
        <v>0.4</v>
      </c>
      <c r="Z7" s="15">
        <f t="shared" si="0"/>
        <v>4.0000000000000008E-2</v>
      </c>
      <c r="AA7" s="15">
        <f t="shared" si="1"/>
        <v>0.9797958971132712</v>
      </c>
    </row>
    <row r="8" spans="1:27" ht="14.95" customHeight="1">
      <c r="A8" s="1579"/>
      <c r="B8" s="186" t="s">
        <v>42</v>
      </c>
      <c r="C8" s="247">
        <f>C6</f>
        <v>19.200000000000003</v>
      </c>
      <c r="D8" s="21" t="s">
        <v>969</v>
      </c>
      <c r="Y8" s="15">
        <f t="shared" si="2"/>
        <v>0.5</v>
      </c>
      <c r="Z8" s="15">
        <f t="shared" si="0"/>
        <v>9.0000000000000024E-2</v>
      </c>
      <c r="AA8" s="15">
        <f t="shared" si="1"/>
        <v>0.95393920141694566</v>
      </c>
    </row>
    <row r="9" spans="1:27" ht="14.95" customHeight="1">
      <c r="A9" s="244" t="s">
        <v>1037</v>
      </c>
      <c r="B9" s="186" t="s">
        <v>1038</v>
      </c>
      <c r="C9" s="246">
        <f>((SIN(W10)*0.2)+0.6)*C1</f>
        <v>28.799999999999997</v>
      </c>
      <c r="D9" s="21" t="s">
        <v>969</v>
      </c>
      <c r="Y9" s="15">
        <f t="shared" si="2"/>
        <v>0.6</v>
      </c>
      <c r="Z9" s="15">
        <f t="shared" si="0"/>
        <v>0.16000000000000003</v>
      </c>
      <c r="AA9" s="15">
        <f t="shared" si="1"/>
        <v>0.91651513899116799</v>
      </c>
    </row>
    <row r="10" spans="1:27" ht="14.95" customHeight="1" thickBot="1">
      <c r="A10" s="245" t="s">
        <v>1039</v>
      </c>
      <c r="B10" s="50"/>
      <c r="C10" s="248">
        <f>0.6*C1</f>
        <v>28.799999999999997</v>
      </c>
      <c r="D10" s="51" t="s">
        <v>969</v>
      </c>
      <c r="V10" t="s">
        <v>1033</v>
      </c>
      <c r="W10">
        <f>C2/360*2*PI()</f>
        <v>0</v>
      </c>
      <c r="Y10" s="15">
        <f t="shared" si="2"/>
        <v>0.7</v>
      </c>
      <c r="Z10" s="15">
        <f t="shared" si="0"/>
        <v>0.25</v>
      </c>
      <c r="AA10" s="15">
        <f t="shared" si="1"/>
        <v>0.8660254037844386</v>
      </c>
    </row>
    <row r="11" spans="1:27" ht="14.95" customHeight="1">
      <c r="A11" s="295" t="s">
        <v>146</v>
      </c>
      <c r="B11" s="291"/>
      <c r="C11" s="292"/>
      <c r="D11" s="652">
        <v>1</v>
      </c>
      <c r="V11" t="s">
        <v>1033</v>
      </c>
      <c r="W11">
        <f>C17/360*2*PI()</f>
        <v>0.38397243543875248</v>
      </c>
      <c r="Y11" s="15">
        <f t="shared" si="2"/>
        <v>0.79999999999999993</v>
      </c>
      <c r="Z11" s="15">
        <f t="shared" si="0"/>
        <v>0.36</v>
      </c>
      <c r="AA11" s="15">
        <f t="shared" si="1"/>
        <v>0.8</v>
      </c>
    </row>
    <row r="12" spans="1:27" ht="14.95" customHeight="1">
      <c r="A12" s="1108" t="s">
        <v>890</v>
      </c>
      <c r="B12" s="293"/>
      <c r="C12" s="294"/>
      <c r="D12" s="585">
        <f>(0.8*D11)+0.2</f>
        <v>1</v>
      </c>
      <c r="Y12" s="15"/>
      <c r="Z12" s="15"/>
      <c r="AA12" s="15"/>
    </row>
    <row r="13" spans="1:27" ht="14.95" customHeight="1" thickBot="1">
      <c r="A13" s="296" t="s">
        <v>147</v>
      </c>
      <c r="B13" s="297"/>
      <c r="C13" s="584">
        <f>C3*D11</f>
        <v>96</v>
      </c>
      <c r="D13" s="51" t="s">
        <v>969</v>
      </c>
      <c r="Y13" s="15">
        <f>Y11+0.1</f>
        <v>0.89999999999999991</v>
      </c>
      <c r="Z13" s="15">
        <f>Y10^2</f>
        <v>0.48999999999999994</v>
      </c>
      <c r="AA13" s="15">
        <f t="shared" si="1"/>
        <v>0.71414284285428498</v>
      </c>
    </row>
    <row r="14" spans="1:27" ht="5.95" customHeight="1" thickBot="1">
      <c r="Y14" s="15">
        <f t="shared" si="2"/>
        <v>0.99999999999999989</v>
      </c>
      <c r="Z14" s="15">
        <f>Y11^2</f>
        <v>0.6399999999999999</v>
      </c>
      <c r="AA14" s="15">
        <f t="shared" si="1"/>
        <v>0.60000000000000009</v>
      </c>
    </row>
    <row r="15" spans="1:27" ht="14.95" customHeight="1" thickBot="1">
      <c r="C15" s="307" t="s">
        <v>148</v>
      </c>
      <c r="D15" s="308" t="s">
        <v>149</v>
      </c>
      <c r="G15" s="1576" t="s">
        <v>606</v>
      </c>
      <c r="H15" s="1577"/>
      <c r="J15" s="76" t="s">
        <v>1084</v>
      </c>
      <c r="K15" s="176"/>
      <c r="Y15" s="15"/>
      <c r="Z15" s="15"/>
      <c r="AA15" s="15"/>
    </row>
    <row r="16" spans="1:27" ht="14.95" customHeight="1">
      <c r="A16" s="593" t="s">
        <v>612</v>
      </c>
      <c r="B16" s="303"/>
      <c r="C16" s="304">
        <v>75</v>
      </c>
      <c r="D16" s="650">
        <v>95</v>
      </c>
      <c r="E16" s="305" t="s">
        <v>969</v>
      </c>
      <c r="G16" s="591" t="s">
        <v>609</v>
      </c>
      <c r="H16" s="591" t="s">
        <v>610</v>
      </c>
      <c r="J16" s="76" t="s">
        <v>1085</v>
      </c>
      <c r="K16" s="9"/>
      <c r="Y16" s="15"/>
      <c r="Z16" s="15"/>
      <c r="AA16" s="15"/>
    </row>
    <row r="17" spans="1:24" ht="14.95" customHeight="1">
      <c r="A17" s="45" t="s">
        <v>1152</v>
      </c>
      <c r="B17" s="301"/>
      <c r="C17" s="302">
        <v>22</v>
      </c>
      <c r="D17" s="651">
        <v>45</v>
      </c>
      <c r="E17" s="306" t="s">
        <v>1030</v>
      </c>
      <c r="G17" s="592">
        <v>125</v>
      </c>
      <c r="H17" s="592">
        <v>114</v>
      </c>
    </row>
    <row r="18" spans="1:24" ht="14.95" customHeight="1">
      <c r="A18" s="244" t="s">
        <v>1031</v>
      </c>
      <c r="B18" s="46"/>
      <c r="C18" s="247">
        <f>((COS(W25)*0.3)+1.2)*C16</f>
        <v>110.86163672775271</v>
      </c>
      <c r="D18" s="247">
        <f>((COS(X25)*0.8)+1.2)*D16</f>
        <v>167.74011537017762</v>
      </c>
      <c r="E18" s="21" t="s">
        <v>969</v>
      </c>
      <c r="G18" s="590" t="s">
        <v>607</v>
      </c>
      <c r="H18" s="590" t="s">
        <v>608</v>
      </c>
    </row>
    <row r="19" spans="1:24" ht="14.95" customHeight="1">
      <c r="A19" s="244" t="s">
        <v>1032</v>
      </c>
      <c r="B19" s="46"/>
      <c r="C19" s="247">
        <f>C16*1.2</f>
        <v>90</v>
      </c>
      <c r="D19" s="247">
        <f>D16*1.2</f>
        <v>114</v>
      </c>
      <c r="E19" s="21" t="s">
        <v>969</v>
      </c>
      <c r="G19" s="592">
        <v>100</v>
      </c>
      <c r="H19" s="649">
        <f>H98*H17</f>
        <v>68.399999999999991</v>
      </c>
    </row>
    <row r="20" spans="1:24" ht="13.6" customHeight="1">
      <c r="A20" s="244" t="s">
        <v>1034</v>
      </c>
      <c r="B20" s="186" t="s">
        <v>1035</v>
      </c>
      <c r="C20" s="247">
        <f>2*C16</f>
        <v>150</v>
      </c>
      <c r="D20" s="247">
        <f>2*D16</f>
        <v>190</v>
      </c>
      <c r="E20" s="21" t="s">
        <v>969</v>
      </c>
    </row>
    <row r="21" spans="1:24" ht="13.6" customHeight="1">
      <c r="A21" s="1580" t="s">
        <v>1036</v>
      </c>
      <c r="B21" s="186" t="s">
        <v>40</v>
      </c>
      <c r="C21" s="247">
        <f>((SIN(W25)*0.6)+0.9)*C16</f>
        <v>84.357296703716045</v>
      </c>
      <c r="D21" s="247">
        <f>((SIN(X25)*1.6)+0.4)*D16</f>
        <v>145.48023074035521</v>
      </c>
      <c r="E21" s="21" t="s">
        <v>969</v>
      </c>
    </row>
    <row r="22" spans="1:24" ht="13.6" customHeight="1">
      <c r="A22" s="1297"/>
      <c r="B22" s="186" t="s">
        <v>41</v>
      </c>
      <c r="C22" s="247">
        <f>C16*1.2</f>
        <v>90</v>
      </c>
      <c r="D22" s="247">
        <f>D16*1.2</f>
        <v>114</v>
      </c>
      <c r="E22" s="21" t="s">
        <v>969</v>
      </c>
      <c r="U22">
        <f>G17^2+H17^2</f>
        <v>28621</v>
      </c>
    </row>
    <row r="23" spans="1:24" ht="13.6" customHeight="1">
      <c r="A23" s="1297"/>
      <c r="B23" s="186" t="s">
        <v>42</v>
      </c>
      <c r="C23" s="247">
        <f>C21</f>
        <v>84.357296703716045</v>
      </c>
      <c r="D23" s="247">
        <f>D21</f>
        <v>145.48023074035521</v>
      </c>
      <c r="E23" s="21" t="s">
        <v>969</v>
      </c>
      <c r="G23" s="591" t="s">
        <v>1031</v>
      </c>
      <c r="H23" s="591">
        <v>62</v>
      </c>
    </row>
    <row r="24" spans="1:24" ht="13.6" customHeight="1">
      <c r="A24" s="244" t="s">
        <v>1037</v>
      </c>
      <c r="B24" s="186" t="s">
        <v>1038</v>
      </c>
      <c r="C24" s="247">
        <f>((SIN(W25)*0.2)+0.6)*C16</f>
        <v>50.619098901238679</v>
      </c>
      <c r="D24" s="247">
        <f>((SIN(X25)*0.2)+0.6)*D16</f>
        <v>70.435028842544412</v>
      </c>
      <c r="E24" s="21" t="s">
        <v>969</v>
      </c>
      <c r="G24" s="592">
        <v>124</v>
      </c>
      <c r="H24" s="592">
        <v>62</v>
      </c>
    </row>
    <row r="25" spans="1:24" ht="13.6" customHeight="1" thickBot="1">
      <c r="A25" s="245" t="s">
        <v>1039</v>
      </c>
      <c r="B25" s="49"/>
      <c r="C25" s="248">
        <f>0.6*C16</f>
        <v>45</v>
      </c>
      <c r="D25" s="248">
        <f>0.6*D16</f>
        <v>57</v>
      </c>
      <c r="E25" s="51" t="s">
        <v>969</v>
      </c>
      <c r="G25" s="1109" t="str">
        <f>IF(G104&lt;0,"assembleurs //","assembleurs non //")</f>
        <v>assembleurs non //</v>
      </c>
      <c r="H25" s="1110"/>
      <c r="V25" t="s">
        <v>1033</v>
      </c>
      <c r="W25">
        <f>C17/360*2*PI()</f>
        <v>0.38397243543875248</v>
      </c>
      <c r="X25">
        <f>D17/360*2*PI()</f>
        <v>0.78539816339744828</v>
      </c>
    </row>
    <row r="26" spans="1:24" ht="7.5" customHeight="1" thickBot="1">
      <c r="A26" s="189"/>
      <c r="B26" s="123"/>
      <c r="C26" s="190"/>
      <c r="D26" s="191"/>
    </row>
    <row r="27" spans="1:24" ht="12.1" customHeight="1" thickBot="1">
      <c r="A27" s="1417" t="s">
        <v>1142</v>
      </c>
      <c r="B27" s="1418"/>
      <c r="C27" s="1419"/>
      <c r="D27" s="191"/>
    </row>
    <row r="28" spans="1:24" ht="14.95" customHeight="1"/>
    <row r="29" spans="1:24" ht="15.8" customHeight="1"/>
    <row r="32" spans="1:24" ht="13.6" customHeight="1"/>
    <row r="33" spans="2:4" ht="13.6" customHeight="1"/>
    <row r="34" spans="2:4" ht="13.6" customHeight="1"/>
    <row r="35" spans="2:4" ht="13.6" customHeight="1"/>
    <row r="36" spans="2:4" ht="13.6" customHeight="1"/>
    <row r="37" spans="2:4" ht="13.6" customHeight="1"/>
    <row r="38" spans="2:4">
      <c r="B38" s="1"/>
      <c r="C38" s="61"/>
      <c r="D38" s="1"/>
    </row>
    <row r="97" spans="7:8">
      <c r="G97" t="s">
        <v>888</v>
      </c>
      <c r="H97" t="s">
        <v>889</v>
      </c>
    </row>
    <row r="98" spans="7:8">
      <c r="G98">
        <f>G19/G17</f>
        <v>0.8</v>
      </c>
      <c r="H98">
        <f>(1-G98^2)^0.5</f>
        <v>0.59999999999999987</v>
      </c>
    </row>
    <row r="100" spans="7:8">
      <c r="G100" t="s">
        <v>888</v>
      </c>
      <c r="H100" t="s">
        <v>889</v>
      </c>
    </row>
    <row r="101" spans="7:8">
      <c r="G101">
        <f>G24/G17</f>
        <v>0.99199999999999999</v>
      </c>
      <c r="H101">
        <f>H24/H17</f>
        <v>0.54385964912280704</v>
      </c>
    </row>
    <row r="102" spans="7:8">
      <c r="G102" t="s">
        <v>891</v>
      </c>
      <c r="H102" t="s">
        <v>892</v>
      </c>
    </row>
    <row r="103" spans="7:8">
      <c r="G103">
        <f>G101*G17</f>
        <v>124</v>
      </c>
      <c r="H103">
        <f>H101*H17</f>
        <v>62</v>
      </c>
    </row>
    <row r="104" spans="7:8">
      <c r="G104">
        <f>H103-(G103/2)</f>
        <v>0</v>
      </c>
    </row>
  </sheetData>
  <mergeCells count="4">
    <mergeCell ref="G15:H15"/>
    <mergeCell ref="A27:C27"/>
    <mergeCell ref="A6:A8"/>
    <mergeCell ref="A21:A23"/>
  </mergeCells>
  <phoneticPr fontId="2" type="noConversion"/>
  <hyperlinks>
    <hyperlink ref="A27" location="MENU!A1" display="RETOUR MENU"/>
    <hyperlink ref="A27:C27" location="'M3'!A1" display="RETOUR MENU"/>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6"/>
  <dimension ref="A1:AG83"/>
  <sheetViews>
    <sheetView workbookViewId="0">
      <selection activeCell="B22" sqref="B22"/>
    </sheetView>
  </sheetViews>
  <sheetFormatPr baseColWidth="10" defaultRowHeight="12.9"/>
  <cols>
    <col min="1" max="1" width="6.625" customWidth="1"/>
    <col min="2" max="2" width="52.375" customWidth="1"/>
    <col min="3" max="3" width="16.375" customWidth="1"/>
    <col min="4" max="4" width="11.625" customWidth="1"/>
    <col min="5" max="5" width="10.875" customWidth="1"/>
    <col min="6" max="6" width="16.625" customWidth="1"/>
    <col min="7" max="7" width="12.75" customWidth="1"/>
    <col min="23" max="23" width="8.875" customWidth="1"/>
    <col min="24" max="24" width="10.625" customWidth="1"/>
    <col min="25" max="25" width="3.25" customWidth="1"/>
    <col min="26" max="26" width="12" customWidth="1"/>
    <col min="27" max="29" width="6.875" customWidth="1"/>
  </cols>
  <sheetData>
    <row r="1" spans="1:25" ht="23.3" customHeight="1" thickBot="1">
      <c r="A1" s="1581" t="s">
        <v>24</v>
      </c>
      <c r="B1" s="1582"/>
      <c r="C1" s="1582"/>
      <c r="D1" s="1583"/>
      <c r="E1" s="1584"/>
    </row>
    <row r="2" spans="1:25" ht="14.95" customHeight="1">
      <c r="A2" s="1504" t="s">
        <v>973</v>
      </c>
      <c r="B2" s="132" t="s">
        <v>1186</v>
      </c>
      <c r="C2" s="133" t="s">
        <v>1199</v>
      </c>
      <c r="D2" s="638">
        <v>98</v>
      </c>
      <c r="E2" s="198" t="s">
        <v>969</v>
      </c>
      <c r="F2" s="135"/>
    </row>
    <row r="3" spans="1:25" ht="14.95" customHeight="1">
      <c r="A3" s="1588"/>
      <c r="B3" s="17" t="s">
        <v>94</v>
      </c>
      <c r="C3" s="30" t="s">
        <v>97</v>
      </c>
      <c r="D3" s="639">
        <v>26</v>
      </c>
      <c r="E3" s="199" t="s">
        <v>969</v>
      </c>
      <c r="F3" s="135"/>
    </row>
    <row r="4" spans="1:25" ht="14.95" customHeight="1">
      <c r="A4" s="1588"/>
      <c r="B4" s="17" t="s">
        <v>25</v>
      </c>
      <c r="C4" s="30" t="s">
        <v>1034</v>
      </c>
      <c r="D4" s="639">
        <v>400</v>
      </c>
      <c r="E4" s="199" t="s">
        <v>969</v>
      </c>
      <c r="F4" s="135"/>
    </row>
    <row r="5" spans="1:25" ht="14.95" hidden="1" customHeight="1">
      <c r="A5" s="1588"/>
      <c r="B5" s="17" t="s">
        <v>0</v>
      </c>
      <c r="C5" s="30" t="s">
        <v>2</v>
      </c>
      <c r="D5" s="639" t="s">
        <v>3</v>
      </c>
      <c r="E5" s="199" t="s">
        <v>1</v>
      </c>
      <c r="F5" s="135"/>
    </row>
    <row r="6" spans="1:25" ht="14.95" customHeight="1">
      <c r="A6" s="1588"/>
      <c r="B6" s="17" t="s">
        <v>95</v>
      </c>
      <c r="C6" s="30" t="s">
        <v>96</v>
      </c>
      <c r="D6" s="639" t="s">
        <v>1126</v>
      </c>
      <c r="E6" s="199"/>
      <c r="F6" s="135"/>
    </row>
    <row r="7" spans="1:25" ht="14.95" customHeight="1">
      <c r="A7" s="1588"/>
      <c r="B7" s="17" t="s">
        <v>138</v>
      </c>
      <c r="C7" s="30" t="s">
        <v>139</v>
      </c>
      <c r="D7" s="639" t="s">
        <v>1046</v>
      </c>
      <c r="E7" s="641" t="s">
        <v>140</v>
      </c>
      <c r="F7" s="135"/>
    </row>
    <row r="8" spans="1:25" ht="14.95" customHeight="1">
      <c r="A8" s="1588"/>
      <c r="B8" s="3" t="s">
        <v>966</v>
      </c>
      <c r="C8" s="31" t="s">
        <v>967</v>
      </c>
      <c r="D8" s="586">
        <v>360</v>
      </c>
      <c r="E8" s="200" t="s">
        <v>968</v>
      </c>
    </row>
    <row r="9" spans="1:25" ht="14.95" customHeight="1">
      <c r="A9" s="1588"/>
      <c r="B9" s="3" t="s">
        <v>1146</v>
      </c>
      <c r="C9" s="32" t="s">
        <v>953</v>
      </c>
      <c r="D9" s="586">
        <v>85</v>
      </c>
      <c r="E9" s="200" t="s">
        <v>969</v>
      </c>
      <c r="F9" s="645">
        <f>D3*2.25</f>
        <v>58.5</v>
      </c>
      <c r="G9" s="582" t="s">
        <v>357</v>
      </c>
    </row>
    <row r="10" spans="1:25" ht="14.95" customHeight="1">
      <c r="A10" s="1588"/>
      <c r="B10" s="3" t="s">
        <v>1147</v>
      </c>
      <c r="C10" s="32" t="s">
        <v>141</v>
      </c>
      <c r="D10" s="586">
        <v>85</v>
      </c>
      <c r="E10" s="200" t="s">
        <v>142</v>
      </c>
      <c r="F10" s="646">
        <f>D3*3.75</f>
        <v>97.5</v>
      </c>
      <c r="G10" s="583" t="s">
        <v>357</v>
      </c>
    </row>
    <row r="11" spans="1:25" ht="14.95" customHeight="1">
      <c r="A11" s="1588"/>
      <c r="B11" s="3" t="s">
        <v>956</v>
      </c>
      <c r="C11" s="33" t="s">
        <v>957</v>
      </c>
      <c r="D11" s="586">
        <v>5</v>
      </c>
      <c r="E11" s="200" t="s">
        <v>970</v>
      </c>
      <c r="F11" s="643"/>
    </row>
    <row r="12" spans="1:25" ht="14.95" customHeight="1">
      <c r="A12" s="1588"/>
      <c r="B12" s="3" t="s">
        <v>959</v>
      </c>
      <c r="C12" s="33" t="s">
        <v>958</v>
      </c>
      <c r="D12" s="586">
        <v>5</v>
      </c>
      <c r="E12" s="200" t="s">
        <v>143</v>
      </c>
      <c r="W12" t="s">
        <v>597</v>
      </c>
      <c r="X12" s="15">
        <f>D15</f>
        <v>1</v>
      </c>
    </row>
    <row r="13" spans="1:25" ht="14.95" customHeight="1">
      <c r="A13" s="1588"/>
      <c r="B13" s="3" t="s">
        <v>1024</v>
      </c>
      <c r="C13" s="32" t="s">
        <v>1025</v>
      </c>
      <c r="D13" s="300">
        <v>1</v>
      </c>
      <c r="E13" s="200"/>
      <c r="W13" t="s">
        <v>598</v>
      </c>
      <c r="X13" s="15">
        <f>IF(X12&lt;1.001,0.2+0.8*X12,1)</f>
        <v>1</v>
      </c>
    </row>
    <row r="14" spans="1:25" ht="14.95" customHeight="1">
      <c r="A14" s="1589"/>
      <c r="B14" s="194" t="s">
        <v>1196</v>
      </c>
      <c r="C14" s="195" t="s">
        <v>1197</v>
      </c>
      <c r="D14" s="586">
        <v>1</v>
      </c>
      <c r="E14" s="642"/>
      <c r="F14" s="587"/>
    </row>
    <row r="15" spans="1:25" ht="14.95" customHeight="1" thickBot="1">
      <c r="A15" s="1590"/>
      <c r="B15" s="298" t="s">
        <v>602</v>
      </c>
      <c r="C15" s="157" t="s">
        <v>603</v>
      </c>
      <c r="D15" s="640">
        <v>1</v>
      </c>
      <c r="E15" s="642"/>
      <c r="F15" s="644" t="s">
        <v>604</v>
      </c>
    </row>
    <row r="16" spans="1:25" ht="26.35" customHeight="1">
      <c r="A16" s="1591" t="s">
        <v>979</v>
      </c>
      <c r="B16" s="196" t="s">
        <v>1187</v>
      </c>
      <c r="C16" s="197"/>
      <c r="D16" s="299">
        <f>(X28)*X13</f>
        <v>25043.721741094098</v>
      </c>
      <c r="E16" s="204" t="s">
        <v>980</v>
      </c>
      <c r="F16" s="193"/>
      <c r="W16" s="11" t="s">
        <v>990</v>
      </c>
      <c r="X16" s="1">
        <f>1.3+(0.001*D2)</f>
        <v>1.3980000000000001</v>
      </c>
      <c r="Y16" s="1"/>
    </row>
    <row r="17" spans="1:33" ht="26.35" customHeight="1">
      <c r="A17" s="1592"/>
      <c r="B17" s="196" t="s">
        <v>599</v>
      </c>
      <c r="C17" s="197"/>
      <c r="D17" s="203">
        <f>X29</f>
        <v>1</v>
      </c>
      <c r="E17" s="202"/>
      <c r="F17" s="193"/>
      <c r="W17" s="11"/>
      <c r="X17" s="1"/>
      <c r="Y17" s="1"/>
    </row>
    <row r="18" spans="1:33" ht="21.75" customHeight="1" thickBot="1">
      <c r="A18" s="1593"/>
      <c r="B18" s="1097" t="s">
        <v>938</v>
      </c>
      <c r="C18" s="1098" t="s">
        <v>325</v>
      </c>
      <c r="D18" s="290">
        <f>D16/D14*D17</f>
        <v>25043.721741094098</v>
      </c>
      <c r="E18" s="201" t="s">
        <v>980</v>
      </c>
      <c r="F18" s="193"/>
      <c r="W18" s="11"/>
      <c r="X18" s="1"/>
      <c r="Y18" s="1"/>
    </row>
    <row r="19" spans="1:33" ht="19.55" customHeight="1" thickBot="1">
      <c r="A19" s="1556"/>
      <c r="B19" s="1099" t="s">
        <v>939</v>
      </c>
      <c r="C19" s="1100" t="s">
        <v>1056</v>
      </c>
      <c r="D19" s="290">
        <f>D18*D13/1.3</f>
        <v>19264.401339303153</v>
      </c>
      <c r="E19" s="201" t="s">
        <v>980</v>
      </c>
      <c r="W19" s="1"/>
      <c r="AF19" t="s">
        <v>995</v>
      </c>
      <c r="AG19" t="s">
        <v>994</v>
      </c>
    </row>
    <row r="20" spans="1:33">
      <c r="C20" s="344"/>
      <c r="D20" s="1101" t="s">
        <v>940</v>
      </c>
      <c r="W20" s="1"/>
      <c r="AD20" t="s">
        <v>1188</v>
      </c>
      <c r="AE20">
        <f>D11/360*2*PI()</f>
        <v>8.7266462599716474E-2</v>
      </c>
      <c r="AF20">
        <f>(SIN(AE20))^2</f>
        <v>7.596123493895969E-3</v>
      </c>
      <c r="AG20">
        <f>(COS(AE20))^2</f>
        <v>0.99240387650610407</v>
      </c>
    </row>
    <row r="21" spans="1:33" ht="13.6" thickBot="1">
      <c r="C21" s="554"/>
      <c r="Z21" t="s">
        <v>92</v>
      </c>
      <c r="AA21">
        <f>D9/(3*D3)</f>
        <v>1.0897435897435896</v>
      </c>
      <c r="AD21" t="s">
        <v>1189</v>
      </c>
      <c r="AE21">
        <f>D12/360*2*PI()</f>
        <v>8.7266462599716474E-2</v>
      </c>
      <c r="AF21">
        <f>(SIN(AE21))^2</f>
        <v>7.596123493895969E-3</v>
      </c>
      <c r="AG21">
        <f>(COS(AE21))^2</f>
        <v>0.99240387650610407</v>
      </c>
    </row>
    <row r="22" spans="1:33" ht="13.6" thickBot="1">
      <c r="B22" s="116" t="s">
        <v>1142</v>
      </c>
      <c r="W22" s="1" t="s">
        <v>1116</v>
      </c>
      <c r="X22">
        <f>MIN(1,AA21,AA22)</f>
        <v>0.65384615384615385</v>
      </c>
      <c r="Z22" t="s">
        <v>93</v>
      </c>
      <c r="AA22">
        <f>D10/(5*D3)</f>
        <v>0.65384615384615385</v>
      </c>
      <c r="AD22" t="s">
        <v>1190</v>
      </c>
      <c r="AE22">
        <f>(X16*AF20)+AG20</f>
        <v>1.0030232571505706</v>
      </c>
    </row>
    <row r="23" spans="1:33">
      <c r="B23" s="553" t="s">
        <v>144</v>
      </c>
      <c r="W23" s="1" t="s">
        <v>1117</v>
      </c>
      <c r="X23">
        <f>IF(D7="T",1,MIN(1,AA23))</f>
        <v>1</v>
      </c>
      <c r="Z23" t="s">
        <v>1192</v>
      </c>
      <c r="AA23">
        <f>D4/D2/2</f>
        <v>2.0408163265306123</v>
      </c>
      <c r="AD23" t="s">
        <v>1190</v>
      </c>
      <c r="AE23">
        <f>(X16*AF21)+AG21</f>
        <v>1.0030232571505706</v>
      </c>
    </row>
    <row r="24" spans="1:33" ht="13.6">
      <c r="B24" s="553" t="s">
        <v>870</v>
      </c>
      <c r="W24" s="1" t="s">
        <v>1118</v>
      </c>
      <c r="X24">
        <f>MIN(1.75,AA24)</f>
        <v>1.0285714285714285</v>
      </c>
      <c r="Z24" t="s">
        <v>1193</v>
      </c>
      <c r="AA24">
        <f>D8/350</f>
        <v>1.0285714285714285</v>
      </c>
      <c r="AD24" t="s">
        <v>1191</v>
      </c>
      <c r="AE24">
        <f>MAX(AE22:AE23)</f>
        <v>1.0030232571505706</v>
      </c>
    </row>
    <row r="25" spans="1:33">
      <c r="W25" s="1" t="s">
        <v>1119</v>
      </c>
      <c r="X25">
        <f>IF(D6="B",1,1.1)</f>
        <v>1.1000000000000001</v>
      </c>
    </row>
    <row r="26" spans="1:33">
      <c r="W26" s="1" t="s">
        <v>1194</v>
      </c>
      <c r="X26">
        <f>X22*X23*X24*X25*D2^(1.5)*35</f>
        <v>25119.43535192476</v>
      </c>
      <c r="Z26">
        <f>X22*X24*D3*31.5*D2</f>
        <v>53978.399999999994</v>
      </c>
    </row>
    <row r="27" spans="1:33">
      <c r="W27" s="1" t="s">
        <v>1194</v>
      </c>
      <c r="X27">
        <f>IF(D7="C",Z26,MIN(X26,Z26))</f>
        <v>25119.43535192476</v>
      </c>
    </row>
    <row r="28" spans="1:33">
      <c r="W28" s="1" t="s">
        <v>1195</v>
      </c>
      <c r="X28">
        <f>X27/AE24</f>
        <v>25043.721741094098</v>
      </c>
    </row>
    <row r="29" spans="1:33">
      <c r="W29" s="1" t="s">
        <v>1198</v>
      </c>
      <c r="X29">
        <f>IF((D14&gt;1),((1-(D14/20))*(D14-2))+2,1)</f>
        <v>1</v>
      </c>
    </row>
    <row r="31" spans="1:33">
      <c r="W31" s="1" t="s">
        <v>1201</v>
      </c>
      <c r="X31">
        <f>X22*X24*D3*31.5*D2</f>
        <v>53978.399999999994</v>
      </c>
      <c r="AA31">
        <f>MIN(X31:Z31)/AE24</f>
        <v>53815.701296243155</v>
      </c>
    </row>
    <row r="32" spans="1:33">
      <c r="W32" s="1" t="s">
        <v>1202</v>
      </c>
      <c r="X32">
        <f>X31</f>
        <v>53978.399999999994</v>
      </c>
      <c r="Z32">
        <f>X22*X24*X25*35*D2^1.5</f>
        <v>25119.43535192476</v>
      </c>
      <c r="AA32">
        <f>MIN(X32:Z32)/AE24</f>
        <v>25043.721741094098</v>
      </c>
    </row>
    <row r="33" spans="23:27">
      <c r="W33" s="1" t="s">
        <v>1203</v>
      </c>
      <c r="X33">
        <f>X32</f>
        <v>53978.399999999994</v>
      </c>
      <c r="Z33">
        <f>X22*X23*X24*X25*35*D2^1.5</f>
        <v>25119.43535192476</v>
      </c>
      <c r="AA33">
        <f>MIN(X33:Z33)/AE24</f>
        <v>25043.721741094098</v>
      </c>
    </row>
    <row r="50" spans="1:6" ht="13.6" thickBot="1"/>
    <row r="51" spans="1:6" ht="23.3" customHeight="1" thickBot="1">
      <c r="A51" s="1585" t="s">
        <v>1012</v>
      </c>
      <c r="B51" s="1586"/>
      <c r="C51" s="1586"/>
      <c r="D51" s="1586"/>
      <c r="E51" s="1587"/>
    </row>
    <row r="52" spans="1:6" ht="14.95" customHeight="1" thickBot="1">
      <c r="A52" s="1493" t="s">
        <v>973</v>
      </c>
      <c r="B52" s="17" t="s">
        <v>999</v>
      </c>
      <c r="C52" s="30" t="s">
        <v>1000</v>
      </c>
      <c r="D52" s="150" t="s">
        <v>991</v>
      </c>
      <c r="E52" s="34" t="s">
        <v>1011</v>
      </c>
      <c r="F52" s="116" t="s">
        <v>1142</v>
      </c>
    </row>
    <row r="53" spans="1:6" ht="14.95" customHeight="1">
      <c r="A53" s="1494"/>
      <c r="B53" s="3" t="s">
        <v>966</v>
      </c>
      <c r="C53" s="31" t="s">
        <v>967</v>
      </c>
      <c r="D53" s="151">
        <f>D8</f>
        <v>360</v>
      </c>
      <c r="E53" s="35" t="s">
        <v>968</v>
      </c>
    </row>
    <row r="54" spans="1:6" ht="14.95" customHeight="1">
      <c r="A54" s="1494"/>
      <c r="B54" s="3" t="s">
        <v>1146</v>
      </c>
      <c r="C54" s="32" t="s">
        <v>953</v>
      </c>
      <c r="D54" s="151">
        <f>D9</f>
        <v>85</v>
      </c>
      <c r="E54" s="35" t="s">
        <v>969</v>
      </c>
    </row>
    <row r="55" spans="1:6" ht="14.95" customHeight="1">
      <c r="A55" s="1494"/>
      <c r="B55" s="3" t="s">
        <v>1147</v>
      </c>
      <c r="C55" s="32" t="s">
        <v>952</v>
      </c>
      <c r="D55" s="151">
        <f>D10</f>
        <v>85</v>
      </c>
      <c r="E55" s="35" t="s">
        <v>969</v>
      </c>
    </row>
    <row r="56" spans="1:6" ht="14.95" customHeight="1">
      <c r="A56" s="1494"/>
      <c r="B56" s="3" t="s">
        <v>956</v>
      </c>
      <c r="C56" s="33" t="s">
        <v>957</v>
      </c>
      <c r="D56" s="151">
        <f>D11</f>
        <v>5</v>
      </c>
      <c r="E56" s="35" t="s">
        <v>970</v>
      </c>
    </row>
    <row r="57" spans="1:6" ht="14.95" customHeight="1">
      <c r="A57" s="1494"/>
      <c r="B57" s="3" t="s">
        <v>959</v>
      </c>
      <c r="C57" s="33" t="s">
        <v>958</v>
      </c>
      <c r="D57" s="151">
        <f>D12</f>
        <v>5</v>
      </c>
      <c r="E57" s="35" t="s">
        <v>970</v>
      </c>
    </row>
    <row r="58" spans="1:6" ht="14.95" customHeight="1">
      <c r="A58" s="1494"/>
      <c r="B58" s="3" t="s">
        <v>949</v>
      </c>
      <c r="C58" s="32" t="s">
        <v>954</v>
      </c>
      <c r="D58" s="151" t="e">
        <f>#REF!</f>
        <v>#REF!</v>
      </c>
      <c r="E58" s="35" t="s">
        <v>969</v>
      </c>
    </row>
    <row r="59" spans="1:6" ht="14.95" customHeight="1">
      <c r="A59" s="1494"/>
      <c r="B59" s="3" t="s">
        <v>1005</v>
      </c>
      <c r="C59" s="32" t="s">
        <v>1001</v>
      </c>
      <c r="D59" s="151" t="e">
        <f>D58*7</f>
        <v>#REF!</v>
      </c>
      <c r="E59" s="35" t="s">
        <v>969</v>
      </c>
    </row>
    <row r="60" spans="1:6" ht="14.95" customHeight="1">
      <c r="A60" s="1494"/>
      <c r="B60" s="3" t="s">
        <v>1024</v>
      </c>
      <c r="C60" s="32" t="s">
        <v>1025</v>
      </c>
      <c r="D60" s="152">
        <f>D13</f>
        <v>1</v>
      </c>
      <c r="E60" s="35"/>
    </row>
    <row r="61" spans="1:6" ht="14.95" customHeight="1" thickBot="1">
      <c r="A61" s="1494"/>
      <c r="B61" s="3" t="s">
        <v>950</v>
      </c>
      <c r="C61" s="32" t="s">
        <v>955</v>
      </c>
      <c r="D61" s="153">
        <v>360</v>
      </c>
      <c r="E61" s="35" t="s">
        <v>971</v>
      </c>
      <c r="F61" s="2" t="s">
        <v>989</v>
      </c>
    </row>
    <row r="62" spans="1:6" ht="14.95" customHeight="1">
      <c r="A62" s="18"/>
      <c r="B62" s="5" t="s">
        <v>947</v>
      </c>
      <c r="C62" s="6" t="s">
        <v>964</v>
      </c>
      <c r="D62" s="36" t="e">
        <f>X73</f>
        <v>#REF!</v>
      </c>
      <c r="E62" s="19" t="s">
        <v>971</v>
      </c>
    </row>
    <row r="63" spans="1:6" ht="14.95" customHeight="1">
      <c r="A63" s="18"/>
      <c r="B63" s="5" t="s">
        <v>948</v>
      </c>
      <c r="C63" s="6" t="s">
        <v>965</v>
      </c>
      <c r="D63" s="13" t="e">
        <f>X74</f>
        <v>#REF!</v>
      </c>
      <c r="E63" s="19" t="s">
        <v>971</v>
      </c>
    </row>
    <row r="64" spans="1:6" ht="14.95" customHeight="1">
      <c r="A64" s="18"/>
      <c r="B64" s="5" t="s">
        <v>960</v>
      </c>
      <c r="C64" s="7" t="s">
        <v>961</v>
      </c>
      <c r="D64" s="16" t="e">
        <f>D63/D62</f>
        <v>#REF!</v>
      </c>
      <c r="E64" s="20"/>
    </row>
    <row r="65" spans="1:26" ht="14.95" customHeight="1" thickBot="1">
      <c r="A65" s="18"/>
      <c r="B65" s="5" t="s">
        <v>962</v>
      </c>
      <c r="C65" s="8" t="s">
        <v>963</v>
      </c>
      <c r="D65" s="13" t="e">
        <f>0.8*D61*D58^3/6</f>
        <v>#REF!</v>
      </c>
      <c r="E65" s="19" t="s">
        <v>972</v>
      </c>
    </row>
    <row r="66" spans="1:26" ht="14.95" customHeight="1">
      <c r="A66" s="1495" t="s">
        <v>979</v>
      </c>
      <c r="B66" s="9" t="s">
        <v>981</v>
      </c>
      <c r="C66" s="10" t="s">
        <v>951</v>
      </c>
      <c r="D66" s="14" t="e">
        <f>(D62*D58*D54)/1.3*D60</f>
        <v>#REF!</v>
      </c>
      <c r="E66" s="37" t="s">
        <v>980</v>
      </c>
      <c r="F66" s="39" t="s">
        <v>1026</v>
      </c>
      <c r="W66" s="11" t="s">
        <v>990</v>
      </c>
      <c r="X66" s="1" t="e">
        <f>IF(D52="R",(1.35+(0.015*D58)),IF(D52="F",(0.9+(0.015*D58)),1))</f>
        <v>#REF!</v>
      </c>
    </row>
    <row r="67" spans="1:26" ht="14.95" customHeight="1" thickBot="1">
      <c r="A67" s="1495"/>
      <c r="B67" s="9" t="s">
        <v>981</v>
      </c>
      <c r="C67" s="10" t="s">
        <v>961</v>
      </c>
      <c r="D67" s="14" t="e">
        <f>(D63*D55*D58)/1.3*D60</f>
        <v>#REF!</v>
      </c>
      <c r="E67" s="37" t="s">
        <v>980</v>
      </c>
      <c r="F67" s="40" t="e">
        <f>MIN(D66:D71)</f>
        <v>#REF!</v>
      </c>
      <c r="Y67" s="1" t="s">
        <v>995</v>
      </c>
      <c r="Z67" s="1" t="s">
        <v>994</v>
      </c>
    </row>
    <row r="68" spans="1:26" ht="14.95" customHeight="1">
      <c r="A68" s="1495"/>
      <c r="B68" s="9" t="s">
        <v>981</v>
      </c>
      <c r="C68" s="10" t="s">
        <v>974</v>
      </c>
      <c r="D68" s="14" t="e">
        <f>((D66/(1+D64))*X79)</f>
        <v>#REF!</v>
      </c>
      <c r="E68" s="21" t="s">
        <v>980</v>
      </c>
      <c r="W68" s="12" t="s">
        <v>992</v>
      </c>
      <c r="X68">
        <f>D56/360*2*PI()</f>
        <v>8.7266462599716474E-2</v>
      </c>
      <c r="Y68" s="15">
        <f>SIN(X68)^2</f>
        <v>7.596123493895969E-3</v>
      </c>
      <c r="Z68" s="15">
        <f>COS(X68)^2</f>
        <v>0.99240387650610407</v>
      </c>
    </row>
    <row r="69" spans="1:26" ht="14.95" customHeight="1">
      <c r="A69" s="1495"/>
      <c r="B69" s="9" t="s">
        <v>985</v>
      </c>
      <c r="C69" s="10" t="s">
        <v>954</v>
      </c>
      <c r="D69" s="14" t="e">
        <f>1.1*(D62*D58*D54)/(2+D64)*X80/1.2*D60</f>
        <v>#REF!</v>
      </c>
      <c r="E69" s="21" t="s">
        <v>980</v>
      </c>
      <c r="W69" s="12" t="s">
        <v>993</v>
      </c>
      <c r="X69">
        <f>D57/360*2*PI()</f>
        <v>8.7266462599716474E-2</v>
      </c>
      <c r="Y69" s="15">
        <f>SIN(X69)^2</f>
        <v>7.596123493895969E-3</v>
      </c>
      <c r="Z69" s="15">
        <f>COS(X69)^2</f>
        <v>0.99240387650610407</v>
      </c>
    </row>
    <row r="70" spans="1:26" ht="14.95" customHeight="1">
      <c r="A70" s="1495"/>
      <c r="B70" s="9" t="s">
        <v>985</v>
      </c>
      <c r="C70" s="10" t="s">
        <v>975</v>
      </c>
      <c r="D70" s="14" t="e">
        <f>(((1.1*D62*D55*D58)/(1+(2*D64)))*X81)/1.2*D60</f>
        <v>#REF!</v>
      </c>
      <c r="E70" s="21" t="s">
        <v>980</v>
      </c>
      <c r="W70" s="1" t="s">
        <v>996</v>
      </c>
      <c r="X70" t="e">
        <f>0.082*(1-0.01*D58)*D53*X71</f>
        <v>#REF!</v>
      </c>
    </row>
    <row r="71" spans="1:26" ht="14.95" customHeight="1" thickBot="1">
      <c r="A71" s="1495"/>
      <c r="B71" s="9" t="s">
        <v>986</v>
      </c>
      <c r="C71" s="10" t="s">
        <v>976</v>
      </c>
      <c r="D71" s="14" t="e">
        <f>(1.1*X82*X83)/1.1*D60</f>
        <v>#REF!</v>
      </c>
      <c r="E71" s="21" t="s">
        <v>980</v>
      </c>
      <c r="W71" s="1" t="s">
        <v>1002</v>
      </c>
      <c r="X71" t="e">
        <f>IF(D59&lt;(4*D58),"IMPOSSIBLE",(IF(D59&gt;(7*D58),1,(D59/((4+3*COS(X68))*D58))^0.5)))</f>
        <v>#REF!</v>
      </c>
    </row>
    <row r="72" spans="1:26" ht="14.95" customHeight="1">
      <c r="A72" s="1495"/>
      <c r="B72" s="22" t="s">
        <v>984</v>
      </c>
      <c r="C72" s="23" t="s">
        <v>977</v>
      </c>
      <c r="D72" s="24" t="e">
        <f>D66</f>
        <v>#REF!</v>
      </c>
      <c r="E72" s="38" t="s">
        <v>980</v>
      </c>
      <c r="F72" s="41" t="s">
        <v>1027</v>
      </c>
      <c r="W72" s="1"/>
    </row>
    <row r="73" spans="1:26" ht="14.95" customHeight="1" thickBot="1">
      <c r="A73" s="1495"/>
      <c r="B73" s="22" t="s">
        <v>984</v>
      </c>
      <c r="C73" s="23" t="s">
        <v>978</v>
      </c>
      <c r="D73" s="24" t="e">
        <f>D67/2</f>
        <v>#REF!</v>
      </c>
      <c r="E73" s="38" t="s">
        <v>980</v>
      </c>
      <c r="F73" s="42" t="e">
        <f>MIN(D72:D75)</f>
        <v>#REF!</v>
      </c>
      <c r="W73" s="1" t="s">
        <v>997</v>
      </c>
      <c r="X73" t="e">
        <f>X70/((X66*Y68)+Z68)</f>
        <v>#REF!</v>
      </c>
    </row>
    <row r="74" spans="1:26" ht="14.95" customHeight="1">
      <c r="A74" s="1495"/>
      <c r="B74" s="22" t="s">
        <v>987</v>
      </c>
      <c r="C74" s="23" t="s">
        <v>982</v>
      </c>
      <c r="D74" s="24" t="e">
        <f>D69</f>
        <v>#REF!</v>
      </c>
      <c r="E74" s="25" t="s">
        <v>980</v>
      </c>
      <c r="W74" s="1" t="s">
        <v>998</v>
      </c>
      <c r="X74" t="e">
        <f>X70/((X66*Y69)+Z69)</f>
        <v>#REF!</v>
      </c>
    </row>
    <row r="75" spans="1:26" ht="14.95" customHeight="1" thickBot="1">
      <c r="A75" s="1496"/>
      <c r="B75" s="26" t="s">
        <v>988</v>
      </c>
      <c r="C75" s="27" t="s">
        <v>983</v>
      </c>
      <c r="D75" s="28" t="e">
        <f>D71</f>
        <v>#REF!</v>
      </c>
      <c r="E75" s="29" t="s">
        <v>980</v>
      </c>
      <c r="F75" s="43" t="s">
        <v>1028</v>
      </c>
    </row>
    <row r="76" spans="1:26">
      <c r="W76" s="1" t="s">
        <v>1003</v>
      </c>
      <c r="X76">
        <f>D55/D54</f>
        <v>1</v>
      </c>
    </row>
    <row r="77" spans="1:26">
      <c r="W77" s="1" t="s">
        <v>1004</v>
      </c>
      <c r="X77">
        <f>X76^2</f>
        <v>1</v>
      </c>
    </row>
    <row r="79" spans="1:26">
      <c r="W79" s="1" t="s">
        <v>1006</v>
      </c>
      <c r="X79" t="e">
        <f>((D64+(2*D64^2)*(1+X76+X77)+((D64^3)*X77))^0.5)-(D64*(1+X76))</f>
        <v>#REF!</v>
      </c>
    </row>
    <row r="80" spans="1:26">
      <c r="W80" s="1" t="s">
        <v>1007</v>
      </c>
      <c r="X80" t="e">
        <f>((2*D64*(1+D64)+(4*D64*(2+D64)*D65)/(D62*D58*D54^2))^0.5)-D64</f>
        <v>#REF!</v>
      </c>
    </row>
    <row r="81" spans="23:24">
      <c r="W81" s="1" t="s">
        <v>1008</v>
      </c>
      <c r="X81" t="e">
        <f>((2*D64^2*(1+D64)+(4*D64*(2+D64)*D65)/(D62*D58*D55^2))^0.5)-D64</f>
        <v>#REF!</v>
      </c>
    </row>
    <row r="82" spans="23:24">
      <c r="W82" s="1" t="s">
        <v>1009</v>
      </c>
      <c r="X82" t="e">
        <f>(2*D64/(1+D64))^0.5</f>
        <v>#REF!</v>
      </c>
    </row>
    <row r="83" spans="23:24">
      <c r="W83" s="1" t="s">
        <v>1010</v>
      </c>
      <c r="X83" t="e">
        <f>(2*D65*D62*D58)^0.5</f>
        <v>#REF!</v>
      </c>
    </row>
  </sheetData>
  <mergeCells count="6">
    <mergeCell ref="A52:A61"/>
    <mergeCell ref="A66:A75"/>
    <mergeCell ref="A1:E1"/>
    <mergeCell ref="A51:E51"/>
    <mergeCell ref="A2:A15"/>
    <mergeCell ref="A16:A19"/>
  </mergeCells>
  <phoneticPr fontId="2" type="noConversion"/>
  <hyperlinks>
    <hyperlink ref="B22" location="'M3'!A1" display="RETOUR MENU"/>
    <hyperlink ref="F52" location="MENU!A1" display="RETOUR MENU"/>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7"/>
  <dimension ref="A1:AG86"/>
  <sheetViews>
    <sheetView zoomScale="115" workbookViewId="0">
      <selection activeCell="B21" sqref="B21"/>
    </sheetView>
  </sheetViews>
  <sheetFormatPr baseColWidth="10" defaultRowHeight="12.9"/>
  <cols>
    <col min="1" max="1" width="6.625" customWidth="1"/>
    <col min="2" max="2" width="52.375" customWidth="1"/>
    <col min="3" max="3" width="16.375" customWidth="1"/>
    <col min="4" max="4" width="14.875" customWidth="1"/>
    <col min="5" max="5" width="15.75" customWidth="1"/>
    <col min="6" max="6" width="11.75" customWidth="1"/>
    <col min="7" max="7" width="15.375" customWidth="1"/>
    <col min="23" max="23" width="8.875" customWidth="1"/>
    <col min="24" max="24" width="10.625" customWidth="1"/>
    <col min="25" max="25" width="3.25" customWidth="1"/>
    <col min="26" max="26" width="12" customWidth="1"/>
    <col min="27" max="29" width="6.875" customWidth="1"/>
  </cols>
  <sheetData>
    <row r="1" spans="1:25" ht="23.3" customHeight="1" thickBot="1">
      <c r="A1" s="1581" t="s">
        <v>352</v>
      </c>
      <c r="B1" s="1582"/>
      <c r="C1" s="1582"/>
      <c r="D1" s="1582"/>
      <c r="E1" s="1584"/>
    </row>
    <row r="2" spans="1:25" ht="14.95" customHeight="1">
      <c r="A2" s="1504" t="s">
        <v>973</v>
      </c>
      <c r="B2" s="132" t="s">
        <v>154</v>
      </c>
      <c r="C2" s="133" t="s">
        <v>1199</v>
      </c>
      <c r="D2" s="150">
        <v>75</v>
      </c>
      <c r="E2" s="134" t="s">
        <v>969</v>
      </c>
      <c r="F2" s="135"/>
    </row>
    <row r="3" spans="1:25" ht="14.95" customHeight="1">
      <c r="A3" s="1589"/>
      <c r="B3" s="17" t="s">
        <v>157</v>
      </c>
      <c r="C3" s="30" t="s">
        <v>1200</v>
      </c>
      <c r="D3" s="192">
        <v>16</v>
      </c>
      <c r="E3" s="34" t="s">
        <v>969</v>
      </c>
    </row>
    <row r="4" spans="1:25" ht="14.95" customHeight="1">
      <c r="A4" s="1589"/>
      <c r="B4" s="17" t="s">
        <v>28</v>
      </c>
      <c r="C4" s="30" t="s">
        <v>97</v>
      </c>
      <c r="D4" s="192">
        <v>9</v>
      </c>
      <c r="E4" s="34" t="s">
        <v>969</v>
      </c>
    </row>
    <row r="5" spans="1:25" ht="14.95" customHeight="1">
      <c r="A5" s="1589"/>
      <c r="B5" s="17" t="s">
        <v>30</v>
      </c>
      <c r="C5" s="30" t="s">
        <v>32</v>
      </c>
      <c r="D5" s="192" t="s">
        <v>31</v>
      </c>
      <c r="E5" s="34" t="s">
        <v>34</v>
      </c>
      <c r="F5" s="135"/>
    </row>
    <row r="6" spans="1:25" ht="14.95" customHeight="1">
      <c r="A6" s="1589"/>
      <c r="B6" s="17" t="s">
        <v>153</v>
      </c>
      <c r="C6" s="30" t="s">
        <v>2</v>
      </c>
      <c r="D6" s="192" t="s">
        <v>1219</v>
      </c>
      <c r="E6" s="34" t="s">
        <v>1</v>
      </c>
      <c r="F6" s="135"/>
    </row>
    <row r="7" spans="1:25" ht="14.95" customHeight="1">
      <c r="A7" s="1589"/>
      <c r="B7" s="3" t="s">
        <v>966</v>
      </c>
      <c r="C7" s="31" t="s">
        <v>967</v>
      </c>
      <c r="D7" s="151">
        <v>340</v>
      </c>
      <c r="E7" s="35" t="s">
        <v>968</v>
      </c>
      <c r="F7" s="135"/>
    </row>
    <row r="8" spans="1:25" ht="14.95" customHeight="1">
      <c r="A8" s="1589"/>
      <c r="B8" s="3" t="s">
        <v>358</v>
      </c>
      <c r="C8" s="32" t="s">
        <v>953</v>
      </c>
      <c r="D8" s="151">
        <v>75</v>
      </c>
      <c r="E8" s="35" t="s">
        <v>969</v>
      </c>
      <c r="F8" s="1104">
        <f>D4*2.25</f>
        <v>20.25</v>
      </c>
      <c r="G8" s="582" t="s">
        <v>357</v>
      </c>
    </row>
    <row r="9" spans="1:25" ht="14.95" customHeight="1">
      <c r="A9" s="1589"/>
      <c r="B9" s="3" t="s">
        <v>601</v>
      </c>
      <c r="C9" s="32" t="s">
        <v>952</v>
      </c>
      <c r="D9" s="151">
        <v>125</v>
      </c>
      <c r="E9" s="35" t="s">
        <v>969</v>
      </c>
      <c r="F9" s="1105">
        <f>D4*3.75</f>
        <v>33.75</v>
      </c>
      <c r="G9" s="583" t="s">
        <v>357</v>
      </c>
    </row>
    <row r="10" spans="1:25" ht="17.350000000000001" customHeight="1">
      <c r="A10" s="1589"/>
      <c r="B10" s="3" t="s">
        <v>1024</v>
      </c>
      <c r="C10" s="32" t="s">
        <v>1025</v>
      </c>
      <c r="D10" s="300">
        <v>0.9</v>
      </c>
      <c r="E10" s="35"/>
    </row>
    <row r="11" spans="1:25" ht="17.350000000000001" customHeight="1">
      <c r="A11" s="1589"/>
      <c r="B11" s="558" t="s">
        <v>160</v>
      </c>
      <c r="C11" s="559"/>
      <c r="D11" s="560">
        <v>0</v>
      </c>
      <c r="E11" s="1165" t="s">
        <v>980</v>
      </c>
      <c r="F11" s="1166">
        <f>AA18</f>
        <v>112</v>
      </c>
      <c r="G11" s="1167" t="s">
        <v>1220</v>
      </c>
    </row>
    <row r="12" spans="1:25" ht="23.95" customHeight="1">
      <c r="A12" s="1591" t="s">
        <v>979</v>
      </c>
      <c r="B12" s="1102" t="s">
        <v>155</v>
      </c>
      <c r="C12" s="561" t="s">
        <v>325</v>
      </c>
      <c r="D12" s="562">
        <f>(X29)+D11</f>
        <v>11306.827671809628</v>
      </c>
      <c r="E12" s="564" t="s">
        <v>980</v>
      </c>
    </row>
    <row r="13" spans="1:25" ht="23.95" customHeight="1">
      <c r="A13" s="1596"/>
      <c r="B13" s="1102" t="s">
        <v>943</v>
      </c>
      <c r="C13" s="561" t="s">
        <v>1056</v>
      </c>
      <c r="D13" s="562">
        <f>D12/1.3*D10</f>
        <v>7827.8037727912806</v>
      </c>
      <c r="E13" s="564"/>
    </row>
    <row r="14" spans="1:25" ht="23.95" customHeight="1">
      <c r="A14" s="1596"/>
      <c r="B14" s="3" t="s">
        <v>941</v>
      </c>
      <c r="C14" s="563"/>
      <c r="D14" s="565">
        <v>2</v>
      </c>
      <c r="E14" s="1106"/>
      <c r="G14" t="s">
        <v>359</v>
      </c>
    </row>
    <row r="15" spans="1:25" ht="23.95" customHeight="1" thickBot="1">
      <c r="A15" s="1597"/>
      <c r="B15" s="566" t="s">
        <v>942</v>
      </c>
      <c r="C15" s="567"/>
      <c r="D15" s="568">
        <f>D13*D14</f>
        <v>15655.607545582561</v>
      </c>
      <c r="E15" s="569" t="s">
        <v>980</v>
      </c>
    </row>
    <row r="16" spans="1:25" ht="21.75" customHeight="1">
      <c r="F16" s="193"/>
      <c r="W16" s="11" t="s">
        <v>990</v>
      </c>
      <c r="X16" s="1">
        <f>1.3+(0.001*D2)</f>
        <v>1.375</v>
      </c>
      <c r="Y16" s="1"/>
    </row>
    <row r="17" spans="1:33" ht="21.75" customHeight="1">
      <c r="F17" s="193"/>
      <c r="W17" s="11"/>
      <c r="X17" s="1"/>
      <c r="Y17" s="1"/>
    </row>
    <row r="18" spans="1:33" ht="13.6" customHeight="1">
      <c r="D18" s="1103" t="s">
        <v>944</v>
      </c>
      <c r="F18" s="193"/>
      <c r="W18" s="11"/>
      <c r="X18" s="1"/>
      <c r="Y18" s="1"/>
      <c r="Z18" t="s">
        <v>405</v>
      </c>
      <c r="AA18">
        <f>MAX(1.1*$D$2,7*$D$3,80)</f>
        <v>112</v>
      </c>
    </row>
    <row r="19" spans="1:33" ht="11.25" customHeight="1">
      <c r="A19" s="314"/>
      <c r="B19" s="315"/>
      <c r="F19" s="193"/>
      <c r="W19" s="11"/>
      <c r="X19" s="1"/>
      <c r="Y19" s="1"/>
      <c r="Z19" t="s">
        <v>404</v>
      </c>
      <c r="AA19">
        <f>MAX(1.5*$D$2,7*$D$3,80)</f>
        <v>112.5</v>
      </c>
    </row>
    <row r="20" spans="1:33" ht="18" customHeight="1" thickBot="1">
      <c r="A20" s="314"/>
      <c r="C20" s="316"/>
      <c r="D20" s="317"/>
      <c r="E20" s="318"/>
      <c r="F20" s="193"/>
      <c r="W20" s="11"/>
      <c r="X20" s="1"/>
      <c r="Y20" s="1"/>
    </row>
    <row r="21" spans="1:33" ht="18.7" customHeight="1" thickBot="1">
      <c r="A21" s="314"/>
      <c r="B21" s="116" t="s">
        <v>1142</v>
      </c>
      <c r="C21" s="316"/>
      <c r="D21" s="317"/>
      <c r="E21" s="318"/>
      <c r="F21" s="193"/>
      <c r="W21" s="11"/>
      <c r="X21" s="1"/>
      <c r="Y21" s="1"/>
      <c r="Z21" t="s">
        <v>29</v>
      </c>
      <c r="AA21">
        <f>AA18/1.5/D2</f>
        <v>0.99555555555555564</v>
      </c>
    </row>
    <row r="22" spans="1:33">
      <c r="W22" s="1"/>
      <c r="Z22" t="s">
        <v>1192</v>
      </c>
      <c r="AA22">
        <f>AA19/2/D2</f>
        <v>0.75</v>
      </c>
      <c r="AF22" t="s">
        <v>995</v>
      </c>
      <c r="AG22" t="s">
        <v>994</v>
      </c>
    </row>
    <row r="23" spans="1:33">
      <c r="W23" s="1"/>
      <c r="AD23" t="s">
        <v>1188</v>
      </c>
      <c r="AE23" t="e">
        <f>#REF!/360*2*PI()</f>
        <v>#REF!</v>
      </c>
      <c r="AF23" t="e">
        <f>(SIN(AE23))^2</f>
        <v>#REF!</v>
      </c>
      <c r="AG23" t="e">
        <f>(COS(AE23))^2</f>
        <v>#REF!</v>
      </c>
    </row>
    <row r="24" spans="1:33">
      <c r="Z24" t="s">
        <v>150</v>
      </c>
      <c r="AA24">
        <f>D8/(3*D4)</f>
        <v>2.7777777777777777</v>
      </c>
      <c r="AD24" t="s">
        <v>1189</v>
      </c>
      <c r="AE24" t="e">
        <f>#REF!/360*2*PI()</f>
        <v>#REF!</v>
      </c>
      <c r="AF24" t="e">
        <f>(SIN(AE24))^2</f>
        <v>#REF!</v>
      </c>
      <c r="AG24" t="e">
        <f>(COS(AE24))^2</f>
        <v>#REF!</v>
      </c>
    </row>
    <row r="25" spans="1:33">
      <c r="W25" s="1" t="s">
        <v>1116</v>
      </c>
      <c r="X25">
        <f>MIN(1,AA24,AA25)</f>
        <v>1</v>
      </c>
      <c r="Z25" t="s">
        <v>151</v>
      </c>
      <c r="AA25">
        <f>D9/(5*D4)</f>
        <v>2.7777777777777777</v>
      </c>
      <c r="AD25" t="s">
        <v>1190</v>
      </c>
      <c r="AE25" t="e">
        <f>(X16*AF23)+AG23</f>
        <v>#REF!</v>
      </c>
    </row>
    <row r="26" spans="1:33">
      <c r="W26" s="1" t="s">
        <v>1117</v>
      </c>
      <c r="X26">
        <f>MIN(1,AA26)</f>
        <v>0.99555555555555564</v>
      </c>
      <c r="Z26" t="s">
        <v>29</v>
      </c>
      <c r="AA26">
        <f>IF(D5="X",AA21,AA22)</f>
        <v>0.99555555555555564</v>
      </c>
      <c r="AD26" t="s">
        <v>1190</v>
      </c>
      <c r="AE26" t="e">
        <f>(X16*AF24)+AG24</f>
        <v>#REF!</v>
      </c>
    </row>
    <row r="27" spans="1:33">
      <c r="W27" s="1" t="s">
        <v>1118</v>
      </c>
      <c r="X27">
        <f>MIN(1.5,AA27)</f>
        <v>0.97142857142857142</v>
      </c>
      <c r="Z27" t="s">
        <v>1193</v>
      </c>
      <c r="AA27">
        <f>D7/350</f>
        <v>0.97142857142857142</v>
      </c>
      <c r="AD27" t="s">
        <v>1191</v>
      </c>
      <c r="AE27" t="e">
        <f>MAX(AE25:AE26)</f>
        <v>#REF!</v>
      </c>
    </row>
    <row r="28" spans="1:33">
      <c r="W28" s="1"/>
    </row>
    <row r="29" spans="1:33">
      <c r="W29" s="1" t="s">
        <v>1194</v>
      </c>
      <c r="X29">
        <f>IF(D6="S",X25*X26*X27*D2^1.5*18,IF(D6="D",X25*X26*X27*D2^1.5*25,TOTO))</f>
        <v>11306.827671809628</v>
      </c>
    </row>
    <row r="30" spans="1:33">
      <c r="W30" s="1" t="s">
        <v>1195</v>
      </c>
      <c r="X30">
        <f>X29</f>
        <v>11306.827671809628</v>
      </c>
    </row>
    <row r="32" spans="1:33">
      <c r="W32" s="1" t="s">
        <v>1198</v>
      </c>
      <c r="X32" t="e">
        <f>IF((#REF!&gt;1),((1-(#REF!/20))*(#REF!-2))+2,1)</f>
        <v>#REF!</v>
      </c>
    </row>
    <row r="53" spans="1:7">
      <c r="A53" s="212"/>
      <c r="B53" s="212"/>
      <c r="C53" s="212"/>
      <c r="D53" s="212"/>
      <c r="E53" s="212"/>
      <c r="F53" s="212"/>
      <c r="G53" s="212"/>
    </row>
    <row r="54" spans="1:7" ht="23.3" customHeight="1">
      <c r="A54" s="1595"/>
      <c r="B54" s="1595"/>
      <c r="C54" s="1595"/>
      <c r="D54" s="1595"/>
      <c r="E54" s="1595"/>
      <c r="F54" s="212"/>
      <c r="G54" s="212"/>
    </row>
    <row r="55" spans="1:7" ht="14.95" customHeight="1">
      <c r="A55" s="1594"/>
      <c r="B55" s="212"/>
      <c r="C55" s="183"/>
      <c r="D55" s="570"/>
      <c r="E55" s="191"/>
      <c r="F55" s="135"/>
      <c r="G55" s="212"/>
    </row>
    <row r="56" spans="1:7" ht="14.95" customHeight="1">
      <c r="A56" s="1594"/>
      <c r="B56" s="212"/>
      <c r="C56" s="122"/>
      <c r="D56" s="571"/>
      <c r="E56" s="191"/>
      <c r="F56" s="212"/>
      <c r="G56" s="212"/>
    </row>
    <row r="57" spans="1:7" ht="14.95" customHeight="1">
      <c r="A57" s="1594"/>
      <c r="B57" s="212"/>
      <c r="C57" s="572"/>
      <c r="D57" s="571"/>
      <c r="E57" s="191"/>
      <c r="F57" s="212"/>
      <c r="G57" s="212"/>
    </row>
    <row r="58" spans="1:7" ht="14.95" customHeight="1">
      <c r="A58" s="1594"/>
      <c r="B58" s="212"/>
      <c r="C58" s="572"/>
      <c r="D58" s="571"/>
      <c r="E58" s="191"/>
      <c r="F58" s="212"/>
      <c r="G58" s="212"/>
    </row>
    <row r="59" spans="1:7" ht="14.95" customHeight="1">
      <c r="A59" s="1594"/>
      <c r="B59" s="212"/>
      <c r="C59" s="573"/>
      <c r="D59" s="571"/>
      <c r="E59" s="191"/>
      <c r="F59" s="212"/>
      <c r="G59" s="212"/>
    </row>
    <row r="60" spans="1:7" ht="14.95" customHeight="1">
      <c r="A60" s="1594"/>
      <c r="B60" s="212"/>
      <c r="C60" s="573"/>
      <c r="D60" s="571"/>
      <c r="E60" s="191"/>
      <c r="F60" s="212"/>
      <c r="G60" s="212"/>
    </row>
    <row r="61" spans="1:7" ht="14.95" customHeight="1">
      <c r="A61" s="1594"/>
      <c r="B61" s="212"/>
      <c r="C61" s="572"/>
      <c r="D61" s="571"/>
      <c r="E61" s="191"/>
      <c r="F61" s="212"/>
      <c r="G61" s="212"/>
    </row>
    <row r="62" spans="1:7" ht="14.95" customHeight="1">
      <c r="A62" s="1594"/>
      <c r="B62" s="212"/>
      <c r="C62" s="572"/>
      <c r="D62" s="571"/>
      <c r="E62" s="191"/>
      <c r="F62" s="212"/>
      <c r="G62" s="212"/>
    </row>
    <row r="63" spans="1:7" ht="14.95" customHeight="1">
      <c r="A63" s="1594"/>
      <c r="B63" s="212"/>
      <c r="C63" s="572"/>
      <c r="D63" s="574"/>
      <c r="E63" s="191"/>
      <c r="F63" s="212"/>
      <c r="G63" s="212"/>
    </row>
    <row r="64" spans="1:7" ht="14.95" customHeight="1">
      <c r="A64" s="1594"/>
      <c r="B64" s="212"/>
      <c r="C64" s="572"/>
      <c r="D64" s="571"/>
      <c r="E64" s="191"/>
      <c r="F64" s="575"/>
      <c r="G64" s="212"/>
    </row>
    <row r="65" spans="1:26" ht="14.95" customHeight="1">
      <c r="A65" s="212"/>
      <c r="B65" s="212"/>
      <c r="C65" s="572"/>
      <c r="D65" s="576"/>
      <c r="E65" s="191"/>
      <c r="F65" s="212"/>
      <c r="G65" s="212"/>
    </row>
    <row r="66" spans="1:26" ht="14.95" customHeight="1">
      <c r="A66" s="212"/>
      <c r="B66" s="212"/>
      <c r="C66" s="572"/>
      <c r="D66" s="576"/>
      <c r="E66" s="191"/>
      <c r="F66" s="212"/>
      <c r="G66" s="212"/>
    </row>
    <row r="67" spans="1:26" ht="14.95" customHeight="1">
      <c r="A67" s="212"/>
      <c r="B67" s="212"/>
      <c r="C67" s="573"/>
      <c r="D67" s="577"/>
      <c r="E67" s="578"/>
      <c r="F67" s="212"/>
      <c r="G67" s="212"/>
    </row>
    <row r="68" spans="1:26" ht="14.95" customHeight="1">
      <c r="A68" s="212"/>
      <c r="B68" s="212"/>
      <c r="C68" s="579"/>
      <c r="D68" s="576"/>
      <c r="E68" s="191"/>
      <c r="F68" s="212"/>
      <c r="G68" s="212"/>
    </row>
    <row r="69" spans="1:26" ht="14.95" customHeight="1">
      <c r="A69" s="1594"/>
      <c r="B69" s="212"/>
      <c r="C69" s="579"/>
      <c r="D69" s="576"/>
      <c r="E69" s="191"/>
      <c r="F69" s="193"/>
      <c r="G69" s="212"/>
      <c r="W69" s="11" t="s">
        <v>990</v>
      </c>
      <c r="X69" s="1">
        <f>IF(D55="R",(1.35+(0.015*D61)),IF(D55="F",(0.9+(0.015*D61)),1))</f>
        <v>1</v>
      </c>
    </row>
    <row r="70" spans="1:26" ht="14.95" customHeight="1">
      <c r="A70" s="1594"/>
      <c r="B70" s="212"/>
      <c r="C70" s="579"/>
      <c r="D70" s="576"/>
      <c r="E70" s="191"/>
      <c r="F70" s="580"/>
      <c r="G70" s="212"/>
      <c r="Y70" s="1" t="s">
        <v>995</v>
      </c>
      <c r="Z70" s="1" t="s">
        <v>994</v>
      </c>
    </row>
    <row r="71" spans="1:26" ht="14.95" customHeight="1">
      <c r="A71" s="1594"/>
      <c r="B71" s="212"/>
      <c r="C71" s="579"/>
      <c r="D71" s="576"/>
      <c r="E71" s="191"/>
      <c r="F71" s="212"/>
      <c r="G71" s="212"/>
      <c r="W71" s="12" t="s">
        <v>992</v>
      </c>
      <c r="X71">
        <f>D59/360*2*PI()</f>
        <v>0</v>
      </c>
      <c r="Y71" s="15">
        <f>SIN(X71)^2</f>
        <v>0</v>
      </c>
      <c r="Z71" s="15">
        <f>COS(X71)^2</f>
        <v>1</v>
      </c>
    </row>
    <row r="72" spans="1:26" ht="14.95" customHeight="1">
      <c r="A72" s="1594"/>
      <c r="B72" s="212"/>
      <c r="C72" s="579"/>
      <c r="D72" s="576"/>
      <c r="E72" s="191"/>
      <c r="F72" s="212"/>
      <c r="G72" s="212"/>
      <c r="W72" s="12" t="s">
        <v>993</v>
      </c>
      <c r="X72">
        <f>D60/360*2*PI()</f>
        <v>0</v>
      </c>
      <c r="Y72" s="15">
        <f>SIN(X72)^2</f>
        <v>0</v>
      </c>
      <c r="Z72" s="15">
        <f>COS(X72)^2</f>
        <v>1</v>
      </c>
    </row>
    <row r="73" spans="1:26" ht="14.95" customHeight="1">
      <c r="A73" s="1594"/>
      <c r="B73" s="212"/>
      <c r="C73" s="579"/>
      <c r="D73" s="576"/>
      <c r="E73" s="191"/>
      <c r="F73" s="212"/>
      <c r="G73" s="212"/>
      <c r="W73" s="1" t="s">
        <v>996</v>
      </c>
      <c r="X73" t="e">
        <f>0.082*(1-0.01*D61)*D56*X74</f>
        <v>#DIV/0!</v>
      </c>
    </row>
    <row r="74" spans="1:26" ht="14.95" customHeight="1">
      <c r="A74" s="1594"/>
      <c r="B74" s="212"/>
      <c r="C74" s="579"/>
      <c r="D74" s="576"/>
      <c r="E74" s="191"/>
      <c r="F74" s="212"/>
      <c r="G74" s="212"/>
      <c r="W74" s="1" t="s">
        <v>1002</v>
      </c>
      <c r="X74" t="e">
        <f>IF(D62&lt;(4*D61),"IMPOSSIBLE",(IF(D62&gt;(7*D61),1,(D62/((4+3*COS(X71))*D61))^0.5)))</f>
        <v>#DIV/0!</v>
      </c>
    </row>
    <row r="75" spans="1:26" ht="14.95" customHeight="1">
      <c r="A75" s="1594"/>
      <c r="B75" s="212"/>
      <c r="C75" s="579"/>
      <c r="D75" s="576"/>
      <c r="E75" s="191"/>
      <c r="F75" s="193"/>
      <c r="G75" s="212"/>
      <c r="W75" s="1"/>
    </row>
    <row r="76" spans="1:26" ht="14.95" customHeight="1">
      <c r="A76" s="1594"/>
      <c r="B76" s="212"/>
      <c r="C76" s="579"/>
      <c r="D76" s="576"/>
      <c r="E76" s="191"/>
      <c r="F76" s="580"/>
      <c r="G76" s="212"/>
      <c r="W76" s="1" t="s">
        <v>997</v>
      </c>
      <c r="X76" t="e">
        <f>X73/((X69*Y71)+Z71)</f>
        <v>#DIV/0!</v>
      </c>
    </row>
    <row r="77" spans="1:26" ht="14.95" customHeight="1">
      <c r="A77" s="1594"/>
      <c r="B77" s="212"/>
      <c r="C77" s="579"/>
      <c r="D77" s="576"/>
      <c r="E77" s="191"/>
      <c r="F77" s="212"/>
      <c r="G77" s="212"/>
      <c r="W77" s="1" t="s">
        <v>998</v>
      </c>
      <c r="X77" t="e">
        <f>X73/((X69*Y72)+Z72)</f>
        <v>#DIV/0!</v>
      </c>
    </row>
    <row r="78" spans="1:26" ht="14.95" customHeight="1">
      <c r="A78" s="1594"/>
      <c r="B78" s="212"/>
      <c r="C78" s="579"/>
      <c r="D78" s="576"/>
      <c r="E78" s="191"/>
      <c r="F78" s="581"/>
      <c r="G78" s="212"/>
    </row>
    <row r="79" spans="1:26">
      <c r="A79" s="212"/>
      <c r="B79" s="212"/>
      <c r="C79" s="212"/>
      <c r="D79" s="212"/>
      <c r="E79" s="212"/>
      <c r="F79" s="212"/>
      <c r="G79" s="212"/>
      <c r="W79" s="1" t="s">
        <v>1003</v>
      </c>
      <c r="X79" t="e">
        <f>D58/D57</f>
        <v>#DIV/0!</v>
      </c>
    </row>
    <row r="80" spans="1:26">
      <c r="W80" s="1" t="s">
        <v>1004</v>
      </c>
      <c r="X80" t="e">
        <f>X79^2</f>
        <v>#DIV/0!</v>
      </c>
    </row>
    <row r="82" spans="23:24">
      <c r="W82" s="1" t="s">
        <v>1006</v>
      </c>
      <c r="X82" t="e">
        <f>((D67+(2*D67^2)*(1+X79+X80)+((D67^3)*X80))^0.5)-(D67*(1+X79))</f>
        <v>#DIV/0!</v>
      </c>
    </row>
    <row r="83" spans="23:24">
      <c r="W83" s="1" t="s">
        <v>1007</v>
      </c>
      <c r="X83" t="e">
        <f>((2*D67*(1+D67)+(4*D67*(2+D67)*D68)/(D65*D61*D57^2))^0.5)-D67</f>
        <v>#DIV/0!</v>
      </c>
    </row>
    <row r="84" spans="23:24">
      <c r="W84" s="1" t="s">
        <v>1008</v>
      </c>
      <c r="X84" t="e">
        <f>((2*D67^2*(1+D67)+(4*D67*(2+D67)*D68)/(D65*D61*D58^2))^0.5)-D67</f>
        <v>#DIV/0!</v>
      </c>
    </row>
    <row r="85" spans="23:24">
      <c r="W85" s="1" t="s">
        <v>1009</v>
      </c>
      <c r="X85">
        <f>(2*D67/(1+D67))^0.5</f>
        <v>0</v>
      </c>
    </row>
    <row r="86" spans="23:24">
      <c r="W86" s="1" t="s">
        <v>1010</v>
      </c>
      <c r="X86">
        <f>(2*D68*D65*D61)^0.5</f>
        <v>0</v>
      </c>
    </row>
  </sheetData>
  <mergeCells count="6">
    <mergeCell ref="A55:A64"/>
    <mergeCell ref="A69:A78"/>
    <mergeCell ref="A1:E1"/>
    <mergeCell ref="A54:E54"/>
    <mergeCell ref="A12:A15"/>
    <mergeCell ref="A2:A11"/>
  </mergeCells>
  <phoneticPr fontId="2" type="noConversion"/>
  <hyperlinks>
    <hyperlink ref="B21" location="'M3'!A1" display="RETOUR MENU"/>
  </hyperlinks>
  <pageMargins left="0.78740157499999996" right="0.78740157499999996" top="0.984251969" bottom="0.984251969" header="0.4921259845" footer="0.4921259845"/>
  <pageSetup paperSize="9" orientation="portrait" horizontalDpi="4294967293" r:id="rId1"/>
  <headerFooter alignWithMargins="0"/>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8"/>
  <dimension ref="A1:AG82"/>
  <sheetViews>
    <sheetView workbookViewId="0">
      <selection sqref="A1:IV50"/>
    </sheetView>
  </sheetViews>
  <sheetFormatPr baseColWidth="10" defaultRowHeight="12.9"/>
  <cols>
    <col min="1" max="1" width="6.625" customWidth="1"/>
    <col min="2" max="2" width="52.375" customWidth="1"/>
    <col min="3" max="3" width="16.375" customWidth="1"/>
    <col min="4" max="4" width="14.875" customWidth="1"/>
    <col min="5" max="5" width="15.75" customWidth="1"/>
    <col min="6" max="6" width="8.75" customWidth="1"/>
    <col min="7" max="7" width="13.125" customWidth="1"/>
    <col min="23" max="23" width="8.875" customWidth="1"/>
    <col min="24" max="24" width="10.625" customWidth="1"/>
    <col min="25" max="25" width="3.25" customWidth="1"/>
    <col min="26" max="26" width="12" customWidth="1"/>
    <col min="27" max="29" width="6.875" customWidth="1"/>
  </cols>
  <sheetData>
    <row r="1" spans="1:27" ht="23.3" customHeight="1" thickBot="1">
      <c r="A1" s="1581" t="s">
        <v>353</v>
      </c>
      <c r="B1" s="1582"/>
      <c r="C1" s="1582"/>
      <c r="D1" s="1582"/>
      <c r="E1" s="1584"/>
    </row>
    <row r="2" spans="1:27" ht="14.95" customHeight="1">
      <c r="A2" s="1504" t="s">
        <v>973</v>
      </c>
      <c r="B2" s="132" t="s">
        <v>154</v>
      </c>
      <c r="C2" s="133" t="s">
        <v>1199</v>
      </c>
      <c r="D2" s="150">
        <v>95</v>
      </c>
      <c r="E2" s="198" t="s">
        <v>969</v>
      </c>
      <c r="F2" s="135"/>
    </row>
    <row r="3" spans="1:27" ht="14.95" customHeight="1">
      <c r="A3" s="1505"/>
      <c r="B3" s="17" t="s">
        <v>157</v>
      </c>
      <c r="C3" s="30" t="s">
        <v>1200</v>
      </c>
      <c r="D3" s="192">
        <v>16</v>
      </c>
      <c r="E3" s="199" t="s">
        <v>969</v>
      </c>
      <c r="F3" s="135"/>
    </row>
    <row r="4" spans="1:27" ht="14.95" customHeight="1">
      <c r="A4" s="1588"/>
      <c r="B4" s="17" t="s">
        <v>600</v>
      </c>
      <c r="C4" s="30" t="s">
        <v>97</v>
      </c>
      <c r="D4" s="192">
        <v>20</v>
      </c>
      <c r="E4" s="199" t="s">
        <v>969</v>
      </c>
      <c r="F4" s="135"/>
    </row>
    <row r="5" spans="1:27" ht="14.95" customHeight="1">
      <c r="A5" s="1588"/>
      <c r="B5" s="17" t="s">
        <v>30</v>
      </c>
      <c r="C5" s="30" t="s">
        <v>32</v>
      </c>
      <c r="D5" s="192" t="s">
        <v>31</v>
      </c>
      <c r="E5" s="199" t="s">
        <v>34</v>
      </c>
      <c r="F5" s="135"/>
    </row>
    <row r="6" spans="1:27" ht="14.95" customHeight="1">
      <c r="A6" s="1588"/>
      <c r="B6" s="3" t="s">
        <v>966</v>
      </c>
      <c r="C6" s="31" t="s">
        <v>967</v>
      </c>
      <c r="D6" s="151">
        <v>370</v>
      </c>
      <c r="E6" s="200" t="s">
        <v>968</v>
      </c>
    </row>
    <row r="7" spans="1:27" ht="14.95" customHeight="1">
      <c r="A7" s="1588"/>
      <c r="B7" s="3" t="s">
        <v>356</v>
      </c>
      <c r="C7" s="32" t="s">
        <v>953</v>
      </c>
      <c r="D7" s="151">
        <v>45</v>
      </c>
      <c r="E7" s="200" t="s">
        <v>969</v>
      </c>
      <c r="F7" s="328">
        <f>D4*2.25</f>
        <v>45</v>
      </c>
      <c r="G7" s="327" t="s">
        <v>357</v>
      </c>
    </row>
    <row r="8" spans="1:27" ht="14.95" customHeight="1">
      <c r="A8" s="1588"/>
      <c r="B8" s="3" t="s">
        <v>1024</v>
      </c>
      <c r="C8" s="32" t="s">
        <v>1025</v>
      </c>
      <c r="D8" s="300">
        <v>0.9</v>
      </c>
      <c r="E8" s="200"/>
    </row>
    <row r="9" spans="1:27" ht="14.95" customHeight="1">
      <c r="A9" s="312"/>
      <c r="B9" s="3" t="s">
        <v>351</v>
      </c>
      <c r="C9" s="310" t="s">
        <v>156</v>
      </c>
      <c r="D9" s="309">
        <v>1440</v>
      </c>
      <c r="E9" s="200" t="s">
        <v>980</v>
      </c>
    </row>
    <row r="10" spans="1:27" ht="14.95" customHeight="1">
      <c r="A10" s="311"/>
      <c r="B10" s="3" t="s">
        <v>158</v>
      </c>
      <c r="C10" s="310"/>
      <c r="D10" s="309">
        <v>4</v>
      </c>
      <c r="E10" s="200"/>
    </row>
    <row r="11" spans="1:27" ht="14.95" customHeight="1">
      <c r="A11" s="311"/>
      <c r="B11" s="62" t="s">
        <v>945</v>
      </c>
      <c r="C11" s="324"/>
      <c r="D11" s="309">
        <v>1500</v>
      </c>
      <c r="E11" s="200" t="s">
        <v>980</v>
      </c>
    </row>
    <row r="12" spans="1:27" ht="31.6" customHeight="1">
      <c r="A12" s="1598" t="s">
        <v>979</v>
      </c>
      <c r="B12" s="325" t="s">
        <v>155</v>
      </c>
      <c r="C12" s="319" t="s">
        <v>325</v>
      </c>
      <c r="D12" s="320">
        <f>(X25)+D11</f>
        <v>11886.184053828427</v>
      </c>
      <c r="E12" s="204" t="s">
        <v>980</v>
      </c>
      <c r="F12" s="193"/>
      <c r="W12" s="11" t="s">
        <v>990</v>
      </c>
      <c r="X12" s="1">
        <f>1.3+(0.001*D2)</f>
        <v>1.395</v>
      </c>
      <c r="Y12" s="1"/>
    </row>
    <row r="13" spans="1:27" ht="31.6" customHeight="1">
      <c r="A13" s="1599"/>
      <c r="B13" s="325" t="s">
        <v>155</v>
      </c>
      <c r="C13" s="561" t="s">
        <v>1056</v>
      </c>
      <c r="D13" s="562">
        <f>D12/1.3*D8</f>
        <v>8228.8966526504482</v>
      </c>
      <c r="E13" s="202" t="s">
        <v>980</v>
      </c>
      <c r="F13" s="193"/>
      <c r="W13" s="11"/>
      <c r="X13" s="1"/>
      <c r="Y13" s="1"/>
    </row>
    <row r="14" spans="1:27" ht="27.7" customHeight="1" thickBot="1">
      <c r="A14" s="1600"/>
      <c r="B14" s="326" t="s">
        <v>942</v>
      </c>
      <c r="C14" s="322"/>
      <c r="D14" s="321">
        <f>D12*D10</f>
        <v>47544.736215313707</v>
      </c>
      <c r="E14" s="323" t="s">
        <v>980</v>
      </c>
      <c r="F14" s="193"/>
      <c r="W14" s="11"/>
      <c r="X14" s="1"/>
      <c r="Y14" s="1"/>
      <c r="Z14" t="s">
        <v>152</v>
      </c>
      <c r="AA14">
        <f>MAX(1.1*D2,7*D3,80)</f>
        <v>112</v>
      </c>
    </row>
    <row r="15" spans="1:27" ht="17.350000000000001" customHeight="1" thickBot="1">
      <c r="A15" s="314"/>
      <c r="B15" s="315"/>
      <c r="D15" s="313" t="s">
        <v>27</v>
      </c>
      <c r="F15" s="193"/>
      <c r="W15" s="11"/>
      <c r="X15" s="1"/>
      <c r="Y15" s="1"/>
    </row>
    <row r="16" spans="1:27" ht="18" customHeight="1" thickBot="1">
      <c r="A16" s="314"/>
      <c r="B16" s="116" t="s">
        <v>1142</v>
      </c>
      <c r="C16" s="316"/>
      <c r="D16" s="317"/>
      <c r="E16" s="318"/>
      <c r="F16" s="193"/>
      <c r="W16" s="11"/>
      <c r="X16" s="1"/>
      <c r="Y16" s="1"/>
    </row>
    <row r="17" spans="1:33" ht="32.299999999999997" customHeight="1">
      <c r="A17" s="314"/>
      <c r="C17" s="316"/>
      <c r="D17" s="317"/>
      <c r="E17" s="318"/>
      <c r="F17" s="193"/>
      <c r="W17" s="11"/>
      <c r="X17" s="1"/>
      <c r="Y17" s="1"/>
      <c r="Z17" t="s">
        <v>29</v>
      </c>
      <c r="AA17">
        <f>AA14/1.5/D2</f>
        <v>0.78596491228070176</v>
      </c>
    </row>
    <row r="18" spans="1:33" ht="13.6">
      <c r="A18" s="552" t="s">
        <v>592</v>
      </c>
      <c r="W18" s="1"/>
      <c r="Z18" t="s">
        <v>1192</v>
      </c>
      <c r="AA18">
        <f>AA14/2/D2</f>
        <v>0.58947368421052626</v>
      </c>
      <c r="AF18" t="s">
        <v>995</v>
      </c>
      <c r="AG18" t="s">
        <v>994</v>
      </c>
    </row>
    <row r="19" spans="1:33">
      <c r="W19" s="1"/>
      <c r="AD19" t="s">
        <v>1188</v>
      </c>
      <c r="AE19" t="e">
        <f>#REF!/360*2*PI()</f>
        <v>#REF!</v>
      </c>
      <c r="AF19" t="e">
        <f>(SIN(AE19))^2</f>
        <v>#REF!</v>
      </c>
      <c r="AG19" t="e">
        <f>(COS(AE19))^2</f>
        <v>#REF!</v>
      </c>
    </row>
    <row r="20" spans="1:33">
      <c r="Z20" t="s">
        <v>150</v>
      </c>
      <c r="AA20">
        <f>D7/(3*D4)</f>
        <v>0.75</v>
      </c>
      <c r="AD20" t="s">
        <v>1189</v>
      </c>
      <c r="AE20" t="e">
        <f>#REF!/360*2*PI()</f>
        <v>#REF!</v>
      </c>
      <c r="AF20" t="e">
        <f>(SIN(AE20))^2</f>
        <v>#REF!</v>
      </c>
      <c r="AG20" t="e">
        <f>(COS(AE20))^2</f>
        <v>#REF!</v>
      </c>
    </row>
    <row r="21" spans="1:33">
      <c r="W21" s="1" t="s">
        <v>1116</v>
      </c>
      <c r="X21">
        <f>MIN(1,AA20,AA21)</f>
        <v>0.75</v>
      </c>
      <c r="Z21" t="s">
        <v>151</v>
      </c>
      <c r="AA21">
        <v>100</v>
      </c>
      <c r="AD21" t="s">
        <v>1190</v>
      </c>
      <c r="AE21" t="e">
        <f>(X12*AF19)+AG19</f>
        <v>#REF!</v>
      </c>
    </row>
    <row r="22" spans="1:33">
      <c r="W22" s="1" t="s">
        <v>1117</v>
      </c>
      <c r="X22">
        <f>MIN(1,AA22)</f>
        <v>0.78596491228070176</v>
      </c>
      <c r="Z22" t="s">
        <v>29</v>
      </c>
      <c r="AA22">
        <f>IF(D5="X",AA17,AA18)</f>
        <v>0.78596491228070176</v>
      </c>
      <c r="AD22" t="s">
        <v>1190</v>
      </c>
      <c r="AE22" t="e">
        <f>(X12*AF20)+AG20</f>
        <v>#REF!</v>
      </c>
    </row>
    <row r="23" spans="1:33">
      <c r="W23" s="1" t="s">
        <v>1118</v>
      </c>
      <c r="X23">
        <f>MIN(1.5,AA23)</f>
        <v>1.0571428571428572</v>
      </c>
      <c r="Z23" t="s">
        <v>1193</v>
      </c>
      <c r="AA23">
        <f>D6/350</f>
        <v>1.0571428571428572</v>
      </c>
      <c r="AD23" t="s">
        <v>1191</v>
      </c>
      <c r="AE23" t="e">
        <f>MAX(AE21:AE22)</f>
        <v>#REF!</v>
      </c>
    </row>
    <row r="24" spans="1:33">
      <c r="W24" s="1"/>
    </row>
    <row r="25" spans="1:33">
      <c r="W25" s="1" t="s">
        <v>1194</v>
      </c>
      <c r="X25">
        <f>X21*X22*X23*D2^1.5*18</f>
        <v>10386.184053828427</v>
      </c>
    </row>
    <row r="26" spans="1:33">
      <c r="W26" s="1" t="s">
        <v>1195</v>
      </c>
      <c r="X26">
        <f>X25</f>
        <v>10386.184053828427</v>
      </c>
    </row>
    <row r="28" spans="1:33">
      <c r="W28" s="1" t="s">
        <v>1198</v>
      </c>
      <c r="X28" t="e">
        <f>IF((#REF!&gt;1),((1-(#REF!/20))*(#REF!-2))+2,1)</f>
        <v>#REF!</v>
      </c>
    </row>
    <row r="50" spans="1:6" ht="23.3" customHeight="1">
      <c r="A50" s="1595"/>
      <c r="B50" s="1595"/>
      <c r="C50" s="1595"/>
      <c r="D50" s="1595"/>
      <c r="E50" s="1595"/>
    </row>
    <row r="51" spans="1:6" ht="14.95" customHeight="1">
      <c r="A51" s="1594"/>
      <c r="B51" s="212"/>
      <c r="C51" s="183"/>
      <c r="D51" s="570"/>
      <c r="E51" s="191"/>
      <c r="F51" s="135"/>
    </row>
    <row r="52" spans="1:6" ht="14.95" customHeight="1">
      <c r="A52" s="1594"/>
      <c r="B52" s="212"/>
      <c r="C52" s="122"/>
      <c r="D52" s="571"/>
      <c r="E52" s="191"/>
    </row>
    <row r="53" spans="1:6" ht="14.95" customHeight="1">
      <c r="A53" s="1594"/>
      <c r="B53" s="212"/>
      <c r="C53" s="572"/>
      <c r="D53" s="571"/>
      <c r="E53" s="191"/>
    </row>
    <row r="54" spans="1:6" ht="14.95" customHeight="1">
      <c r="A54" s="1594"/>
      <c r="B54" s="212"/>
      <c r="C54" s="572"/>
      <c r="D54" s="571"/>
      <c r="E54" s="191"/>
    </row>
    <row r="55" spans="1:6" ht="14.95" customHeight="1">
      <c r="A55" s="1594"/>
      <c r="B55" s="212"/>
      <c r="C55" s="573"/>
      <c r="D55" s="571"/>
      <c r="E55" s="191"/>
    </row>
    <row r="56" spans="1:6" ht="14.95" customHeight="1">
      <c r="A56" s="1594"/>
      <c r="B56" s="212"/>
      <c r="C56" s="573"/>
      <c r="D56" s="571"/>
      <c r="E56" s="191"/>
    </row>
    <row r="57" spans="1:6" ht="14.95" customHeight="1">
      <c r="A57" s="1594"/>
      <c r="B57" s="212"/>
      <c r="C57" s="572"/>
      <c r="D57" s="571"/>
      <c r="E57" s="191"/>
    </row>
    <row r="58" spans="1:6" ht="14.95" customHeight="1">
      <c r="A58" s="1594"/>
      <c r="B58" s="212"/>
      <c r="C58" s="572"/>
      <c r="D58" s="571"/>
      <c r="E58" s="191"/>
    </row>
    <row r="59" spans="1:6" ht="14.95" customHeight="1">
      <c r="A59" s="1594"/>
      <c r="B59" s="212"/>
      <c r="C59" s="572"/>
      <c r="D59" s="574"/>
      <c r="E59" s="191"/>
    </row>
    <row r="60" spans="1:6" ht="14.95" customHeight="1">
      <c r="A60" s="1594"/>
      <c r="B60" s="212"/>
      <c r="C60" s="572"/>
      <c r="D60" s="571"/>
      <c r="E60" s="191"/>
      <c r="F60" s="2"/>
    </row>
    <row r="61" spans="1:6" ht="14.95" customHeight="1">
      <c r="A61" s="212"/>
      <c r="B61" s="212"/>
      <c r="C61" s="572"/>
      <c r="D61" s="576"/>
      <c r="E61" s="191"/>
    </row>
    <row r="62" spans="1:6" ht="14.95" customHeight="1">
      <c r="A62" s="212"/>
      <c r="B62" s="212"/>
      <c r="C62" s="572"/>
      <c r="D62" s="576"/>
      <c r="E62" s="191"/>
    </row>
    <row r="63" spans="1:6" ht="14.95" customHeight="1">
      <c r="A63" s="212"/>
      <c r="B63" s="212"/>
      <c r="C63" s="573"/>
      <c r="D63" s="577"/>
      <c r="E63" s="578"/>
    </row>
    <row r="64" spans="1:6" ht="14.95" customHeight="1">
      <c r="A64" s="212"/>
      <c r="B64" s="212"/>
      <c r="C64" s="579"/>
      <c r="D64" s="576"/>
      <c r="E64" s="191"/>
    </row>
    <row r="65" spans="1:26" ht="14.95" customHeight="1">
      <c r="A65" s="1594"/>
      <c r="B65" s="212"/>
      <c r="C65" s="579"/>
      <c r="D65" s="576"/>
      <c r="E65" s="191"/>
      <c r="F65" s="193"/>
      <c r="W65" s="11" t="s">
        <v>990</v>
      </c>
      <c r="X65" s="1">
        <f>IF(D51="R",(1.35+(0.015*D57)),IF(D51="F",(0.9+(0.015*D57)),1))</f>
        <v>1</v>
      </c>
    </row>
    <row r="66" spans="1:26" ht="14.95" customHeight="1">
      <c r="A66" s="1594"/>
      <c r="B66" s="212"/>
      <c r="C66" s="579"/>
      <c r="D66" s="576"/>
      <c r="E66" s="191"/>
      <c r="F66" s="580"/>
      <c r="Y66" s="1" t="s">
        <v>995</v>
      </c>
      <c r="Z66" s="1" t="s">
        <v>994</v>
      </c>
    </row>
    <row r="67" spans="1:26" ht="14.95" customHeight="1">
      <c r="A67" s="1594"/>
      <c r="B67" s="212"/>
      <c r="C67" s="579"/>
      <c r="D67" s="576"/>
      <c r="E67" s="191"/>
      <c r="F67" s="212"/>
      <c r="W67" s="12" t="s">
        <v>992</v>
      </c>
      <c r="X67">
        <f>D55/360*2*PI()</f>
        <v>0</v>
      </c>
      <c r="Y67" s="15">
        <f>SIN(X67)^2</f>
        <v>0</v>
      </c>
      <c r="Z67" s="15">
        <f>COS(X67)^2</f>
        <v>1</v>
      </c>
    </row>
    <row r="68" spans="1:26" ht="14.95" customHeight="1">
      <c r="A68" s="1594"/>
      <c r="B68" s="212"/>
      <c r="C68" s="579"/>
      <c r="D68" s="576"/>
      <c r="E68" s="191"/>
      <c r="F68" s="212"/>
      <c r="W68" s="12" t="s">
        <v>993</v>
      </c>
      <c r="X68">
        <f>D56/360*2*PI()</f>
        <v>0</v>
      </c>
      <c r="Y68" s="15">
        <f>SIN(X68)^2</f>
        <v>0</v>
      </c>
      <c r="Z68" s="15">
        <f>COS(X68)^2</f>
        <v>1</v>
      </c>
    </row>
    <row r="69" spans="1:26" ht="14.95" customHeight="1">
      <c r="A69" s="1594"/>
      <c r="B69" s="212"/>
      <c r="C69" s="579"/>
      <c r="D69" s="576"/>
      <c r="E69" s="191"/>
      <c r="F69" s="212"/>
      <c r="W69" s="1" t="s">
        <v>996</v>
      </c>
      <c r="X69" t="e">
        <f>0.082*(1-0.01*D57)*D52*X70</f>
        <v>#DIV/0!</v>
      </c>
    </row>
    <row r="70" spans="1:26" ht="14.95" customHeight="1">
      <c r="A70" s="1594"/>
      <c r="B70" s="212"/>
      <c r="C70" s="579"/>
      <c r="D70" s="576"/>
      <c r="E70" s="191"/>
      <c r="F70" s="212"/>
      <c r="W70" s="1" t="s">
        <v>1002</v>
      </c>
      <c r="X70" t="e">
        <f>IF(D58&lt;(4*D57),"IMPOSSIBLE",(IF(D58&gt;(7*D57),1,(D58/((4+3*COS(X67))*D57))^0.5)))</f>
        <v>#DIV/0!</v>
      </c>
    </row>
    <row r="71" spans="1:26" ht="14.95" customHeight="1">
      <c r="A71" s="1594"/>
      <c r="B71" s="212"/>
      <c r="C71" s="579"/>
      <c r="D71" s="576"/>
      <c r="E71" s="191"/>
      <c r="F71" s="193"/>
      <c r="W71" s="1"/>
    </row>
    <row r="72" spans="1:26" ht="14.95" customHeight="1">
      <c r="A72" s="1594"/>
      <c r="B72" s="212"/>
      <c r="C72" s="579"/>
      <c r="D72" s="576"/>
      <c r="E72" s="191"/>
      <c r="F72" s="580"/>
      <c r="W72" s="1" t="s">
        <v>997</v>
      </c>
      <c r="X72" t="e">
        <f>X69/((X65*Y67)+Z67)</f>
        <v>#DIV/0!</v>
      </c>
    </row>
    <row r="73" spans="1:26" ht="14.95" customHeight="1">
      <c r="A73" s="1594"/>
      <c r="B73" s="212"/>
      <c r="C73" s="579"/>
      <c r="D73" s="576"/>
      <c r="E73" s="191"/>
      <c r="F73" s="212"/>
      <c r="W73" s="1" t="s">
        <v>998</v>
      </c>
      <c r="X73" t="e">
        <f>X69/((X65*Y68)+Z68)</f>
        <v>#DIV/0!</v>
      </c>
    </row>
    <row r="74" spans="1:26" ht="14.95" customHeight="1">
      <c r="A74" s="1594"/>
      <c r="B74" s="212"/>
      <c r="C74" s="579"/>
      <c r="D74" s="576"/>
      <c r="E74" s="191"/>
      <c r="F74" s="581"/>
    </row>
    <row r="75" spans="1:26">
      <c r="W75" s="1" t="s">
        <v>1003</v>
      </c>
      <c r="X75" t="e">
        <f>D54/D53</f>
        <v>#DIV/0!</v>
      </c>
    </row>
    <row r="76" spans="1:26">
      <c r="W76" s="1" t="s">
        <v>1004</v>
      </c>
      <c r="X76" t="e">
        <f>X75^2</f>
        <v>#DIV/0!</v>
      </c>
    </row>
    <row r="78" spans="1:26">
      <c r="W78" s="1" t="s">
        <v>1006</v>
      </c>
      <c r="X78" t="e">
        <f>((D63+(2*D63^2)*(1+X75+X76)+((D63^3)*X76))^0.5)-(D63*(1+X75))</f>
        <v>#DIV/0!</v>
      </c>
    </row>
    <row r="79" spans="1:26">
      <c r="W79" s="1" t="s">
        <v>1007</v>
      </c>
      <c r="X79" t="e">
        <f>((2*D63*(1+D63)+(4*D63*(2+D63)*D64)/(D61*D57*D53^2))^0.5)-D63</f>
        <v>#DIV/0!</v>
      </c>
    </row>
    <row r="80" spans="1:26">
      <c r="W80" s="1" t="s">
        <v>1008</v>
      </c>
      <c r="X80" t="e">
        <f>((2*D63^2*(1+D63)+(4*D63*(2+D63)*D64)/(D61*D57*D54^2))^0.5)-D63</f>
        <v>#DIV/0!</v>
      </c>
    </row>
    <row r="81" spans="23:24">
      <c r="W81" s="1" t="s">
        <v>1009</v>
      </c>
      <c r="X81">
        <f>(2*D63/(1+D63))^0.5</f>
        <v>0</v>
      </c>
    </row>
    <row r="82" spans="23:24">
      <c r="W82" s="1" t="s">
        <v>1010</v>
      </c>
      <c r="X82">
        <f>(2*D64*D61*D57)^0.5</f>
        <v>0</v>
      </c>
    </row>
  </sheetData>
  <mergeCells count="6">
    <mergeCell ref="A51:A60"/>
    <mergeCell ref="A65:A74"/>
    <mergeCell ref="A1:E1"/>
    <mergeCell ref="A2:A8"/>
    <mergeCell ref="A12:A14"/>
    <mergeCell ref="A50:E50"/>
  </mergeCells>
  <phoneticPr fontId="2" type="noConversion"/>
  <hyperlinks>
    <hyperlink ref="B16" location="'M3'!A1" display="RETOUR MENU"/>
  </hyperlinks>
  <pageMargins left="0.78740157499999996" right="0.78740157499999996" top="0.984251969" bottom="0.984251969" header="0.4921259845" footer="0.4921259845"/>
  <headerFooter alignWithMargins="0"/>
  <drawing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9"/>
  <dimension ref="A1:Z27"/>
  <sheetViews>
    <sheetView workbookViewId="0">
      <selection activeCell="F2" sqref="F2"/>
    </sheetView>
  </sheetViews>
  <sheetFormatPr baseColWidth="10" defaultRowHeight="12.9"/>
  <cols>
    <col min="1" max="1" width="10" customWidth="1"/>
    <col min="2" max="2" width="38.125" customWidth="1"/>
    <col min="3" max="3" width="16" customWidth="1"/>
    <col min="4" max="4" width="13.75" customWidth="1"/>
    <col min="5" max="5" width="17.75" customWidth="1"/>
    <col min="6" max="6" width="16.125" customWidth="1"/>
    <col min="7" max="7" width="16.375" customWidth="1"/>
    <col min="23" max="24" width="8.875" customWidth="1"/>
    <col min="25" max="25" width="11.25" customWidth="1"/>
  </cols>
  <sheetData>
    <row r="1" spans="1:26" ht="24.8" customHeight="1" thickBot="1">
      <c r="A1" s="1601" t="s">
        <v>1021</v>
      </c>
      <c r="B1" s="1498"/>
      <c r="C1" s="1498"/>
      <c r="D1" s="1498"/>
      <c r="E1" s="1499"/>
    </row>
    <row r="2" spans="1:26" ht="14.95" customHeight="1" thickBot="1">
      <c r="A2" s="1504" t="s">
        <v>973</v>
      </c>
      <c r="B2" s="132" t="s">
        <v>1015</v>
      </c>
      <c r="C2" s="1083" t="s">
        <v>1017</v>
      </c>
      <c r="D2" s="647">
        <v>500</v>
      </c>
      <c r="E2" s="134" t="s">
        <v>968</v>
      </c>
      <c r="F2" s="127" t="s">
        <v>1142</v>
      </c>
    </row>
    <row r="3" spans="1:26" ht="14.95" customHeight="1">
      <c r="A3" s="1505"/>
      <c r="B3" s="3" t="s">
        <v>1013</v>
      </c>
      <c r="C3" s="32" t="s">
        <v>953</v>
      </c>
      <c r="D3" s="493">
        <v>100</v>
      </c>
      <c r="E3" s="35" t="s">
        <v>969</v>
      </c>
    </row>
    <row r="4" spans="1:26" ht="14.95" customHeight="1">
      <c r="A4" s="1505"/>
      <c r="B4" s="3" t="s">
        <v>1022</v>
      </c>
      <c r="C4" s="32" t="s">
        <v>952</v>
      </c>
      <c r="D4" s="493">
        <v>20</v>
      </c>
      <c r="E4" s="35" t="s">
        <v>969</v>
      </c>
    </row>
    <row r="5" spans="1:26" ht="14.95" customHeight="1">
      <c r="A5" s="1505"/>
      <c r="B5" s="3" t="s">
        <v>949</v>
      </c>
      <c r="C5" s="32" t="s">
        <v>954</v>
      </c>
      <c r="D5" s="493">
        <v>16</v>
      </c>
      <c r="E5" s="35" t="s">
        <v>969</v>
      </c>
    </row>
    <row r="6" spans="1:26" ht="14.95" customHeight="1">
      <c r="A6" s="1505"/>
      <c r="B6" s="3" t="s">
        <v>1005</v>
      </c>
      <c r="C6" s="32" t="s">
        <v>1001</v>
      </c>
      <c r="D6" s="493">
        <v>112</v>
      </c>
      <c r="E6" s="35" t="s">
        <v>969</v>
      </c>
    </row>
    <row r="7" spans="1:26" ht="14.95" customHeight="1">
      <c r="A7" s="1505"/>
      <c r="B7" s="3" t="s">
        <v>1024</v>
      </c>
      <c r="C7" s="32" t="s">
        <v>1025</v>
      </c>
      <c r="D7" s="488">
        <v>0.9</v>
      </c>
      <c r="E7" s="35"/>
    </row>
    <row r="8" spans="1:26" ht="14.95" customHeight="1" thickBot="1">
      <c r="A8" s="1493"/>
      <c r="B8" s="3" t="s">
        <v>950</v>
      </c>
      <c r="C8" s="32" t="s">
        <v>955</v>
      </c>
      <c r="D8" s="494">
        <v>400</v>
      </c>
      <c r="E8" s="35" t="s">
        <v>971</v>
      </c>
      <c r="F8" s="2" t="s">
        <v>989</v>
      </c>
    </row>
    <row r="9" spans="1:26" ht="14.95" customHeight="1">
      <c r="A9" s="18"/>
      <c r="B9" s="5" t="s">
        <v>1020</v>
      </c>
      <c r="C9" s="6" t="s">
        <v>964</v>
      </c>
      <c r="D9" s="13">
        <f>X17</f>
        <v>46.199999999999996</v>
      </c>
      <c r="E9" s="19" t="s">
        <v>971</v>
      </c>
    </row>
    <row r="10" spans="1:26" ht="14.95" customHeight="1">
      <c r="A10" s="18"/>
      <c r="B10" s="5" t="s">
        <v>1023</v>
      </c>
      <c r="C10" s="6" t="s">
        <v>965</v>
      </c>
      <c r="D10" s="13">
        <f>X18</f>
        <v>46.199999999999996</v>
      </c>
      <c r="E10" s="19" t="s">
        <v>971</v>
      </c>
      <c r="W10" s="11" t="s">
        <v>990</v>
      </c>
      <c r="X10" s="1">
        <v>1</v>
      </c>
    </row>
    <row r="11" spans="1:26" ht="14.95" customHeight="1">
      <c r="A11" s="18"/>
      <c r="B11" s="5" t="s">
        <v>960</v>
      </c>
      <c r="C11" s="7" t="s">
        <v>961</v>
      </c>
      <c r="D11" s="16">
        <f>D10/D9</f>
        <v>1</v>
      </c>
      <c r="E11" s="20"/>
      <c r="Y11" s="1" t="s">
        <v>995</v>
      </c>
      <c r="Z11" s="1" t="s">
        <v>994</v>
      </c>
    </row>
    <row r="12" spans="1:26" ht="14.95" customHeight="1">
      <c r="A12" s="18"/>
      <c r="B12" s="5" t="s">
        <v>962</v>
      </c>
      <c r="C12" s="8" t="s">
        <v>963</v>
      </c>
      <c r="D12" s="13">
        <f>0.8*D8*D5^3/6</f>
        <v>218453.33333333334</v>
      </c>
      <c r="E12" s="19" t="s">
        <v>972</v>
      </c>
      <c r="W12" s="12" t="s">
        <v>992</v>
      </c>
      <c r="X12">
        <v>0</v>
      </c>
      <c r="Y12" s="15">
        <f>SIN(X12)^2</f>
        <v>0</v>
      </c>
      <c r="Z12" s="15">
        <f>COS(X12)^2</f>
        <v>1</v>
      </c>
    </row>
    <row r="13" spans="1:26" ht="14.95" customHeight="1">
      <c r="A13" s="1495" t="s">
        <v>326</v>
      </c>
      <c r="B13" s="9" t="s">
        <v>981</v>
      </c>
      <c r="C13" s="10" t="s">
        <v>951</v>
      </c>
      <c r="D13" s="14">
        <f>D9*D5*D3</f>
        <v>73920</v>
      </c>
      <c r="E13" s="21" t="s">
        <v>980</v>
      </c>
      <c r="F13" s="193"/>
      <c r="W13" s="12" t="s">
        <v>993</v>
      </c>
      <c r="X13">
        <v>0</v>
      </c>
      <c r="Y13" s="15">
        <f>SIN(X13)^2</f>
        <v>0</v>
      </c>
      <c r="Z13" s="15">
        <f>COS(X13)^2</f>
        <v>1</v>
      </c>
    </row>
    <row r="14" spans="1:26" ht="14.95" customHeight="1">
      <c r="A14" s="1495"/>
      <c r="B14" s="9" t="s">
        <v>981</v>
      </c>
      <c r="C14" s="10" t="s">
        <v>961</v>
      </c>
      <c r="D14" s="14">
        <f>D10*D4*D5</f>
        <v>14783.999999999998</v>
      </c>
      <c r="E14" s="21" t="s">
        <v>980</v>
      </c>
      <c r="F14" s="580"/>
      <c r="W14" s="1" t="s">
        <v>1014</v>
      </c>
      <c r="X14">
        <f>0.11*(1-0.01*D5)*D2*X15</f>
        <v>46.199999999999996</v>
      </c>
    </row>
    <row r="15" spans="1:26" ht="14.95" customHeight="1">
      <c r="A15" s="1495"/>
      <c r="B15" s="9" t="s">
        <v>981</v>
      </c>
      <c r="C15" s="10" t="s">
        <v>974</v>
      </c>
      <c r="D15" s="14">
        <f>(D13/(1+D11))*X23</f>
        <v>24991.106593229586</v>
      </c>
      <c r="E15" s="21" t="s">
        <v>980</v>
      </c>
      <c r="F15" s="212"/>
      <c r="W15" s="1" t="s">
        <v>1002</v>
      </c>
      <c r="X15">
        <f>IF(D6&lt;(4*D5),"IMPOSSIBLE",(IF(D6&gt;(7*D5),1,(D6/((4+3*COS(X12))*D5))^0.5)))</f>
        <v>1</v>
      </c>
    </row>
    <row r="16" spans="1:26" ht="14.95" customHeight="1">
      <c r="A16" s="1495"/>
      <c r="B16" s="9" t="s">
        <v>985</v>
      </c>
      <c r="C16" s="10" t="s">
        <v>954</v>
      </c>
      <c r="D16" s="14">
        <f>(1.1*(D9*D3*D5)/(2+D11))*X24</f>
        <v>29455.96345873407</v>
      </c>
      <c r="E16" s="21" t="s">
        <v>980</v>
      </c>
      <c r="F16" s="1500" t="s">
        <v>323</v>
      </c>
      <c r="G16" s="1501"/>
      <c r="W16" s="1" t="s">
        <v>1019</v>
      </c>
      <c r="X16">
        <f>0.11*(1-0.01*D5)*D2*X15</f>
        <v>46.199999999999996</v>
      </c>
    </row>
    <row r="17" spans="1:24" ht="14.95" customHeight="1">
      <c r="A17" s="1495"/>
      <c r="B17" s="9" t="s">
        <v>985</v>
      </c>
      <c r="C17" s="10" t="s">
        <v>975</v>
      </c>
      <c r="D17" s="14">
        <f>(1.1*(D9*D4*D5)/(2+(2*D11)))*X25</f>
        <v>4418.3945188101106</v>
      </c>
      <c r="E17" s="21" t="s">
        <v>980</v>
      </c>
      <c r="F17" s="1085" t="s">
        <v>325</v>
      </c>
      <c r="G17" s="46" t="s">
        <v>1056</v>
      </c>
      <c r="W17" s="1" t="s">
        <v>997</v>
      </c>
      <c r="X17">
        <f>X16*X15</f>
        <v>46.199999999999996</v>
      </c>
    </row>
    <row r="18" spans="1:24" ht="14.95" customHeight="1">
      <c r="A18" s="1495"/>
      <c r="B18" s="9" t="s">
        <v>986</v>
      </c>
      <c r="C18" s="10" t="s">
        <v>976</v>
      </c>
      <c r="D18" s="14">
        <f>1.1*X26*X27</f>
        <v>19768.239771916975</v>
      </c>
      <c r="E18" s="21" t="s">
        <v>980</v>
      </c>
      <c r="F18" s="1089">
        <f>MIN(D13:D18)</f>
        <v>4418.3945188101106</v>
      </c>
      <c r="G18" s="1088">
        <f>F18/1.3*$D$7</f>
        <v>3058.8885130223844</v>
      </c>
      <c r="W18" s="1" t="s">
        <v>998</v>
      </c>
      <c r="X18">
        <f>X14/((X10*Y13)+Z13)</f>
        <v>46.199999999999996</v>
      </c>
    </row>
    <row r="19" spans="1:24" ht="14.95" customHeight="1">
      <c r="A19" s="1495"/>
      <c r="B19" s="22" t="s">
        <v>984</v>
      </c>
      <c r="C19" s="23" t="s">
        <v>977</v>
      </c>
      <c r="D19" s="24">
        <f>D13</f>
        <v>73920</v>
      </c>
      <c r="E19" s="25" t="s">
        <v>980</v>
      </c>
      <c r="F19" s="1112" t="s">
        <v>1100</v>
      </c>
      <c r="G19" s="1107"/>
    </row>
    <row r="20" spans="1:24" ht="14.95" customHeight="1">
      <c r="A20" s="1495"/>
      <c r="B20" s="22" t="s">
        <v>984</v>
      </c>
      <c r="C20" s="23" t="s">
        <v>978</v>
      </c>
      <c r="D20" s="24">
        <f>D14/2</f>
        <v>7391.9999999999991</v>
      </c>
      <c r="E20" s="25" t="s">
        <v>980</v>
      </c>
      <c r="F20" s="1502" t="s">
        <v>324</v>
      </c>
      <c r="G20" s="1503"/>
      <c r="W20" s="1" t="s">
        <v>1003</v>
      </c>
      <c r="X20">
        <f>D4/D3</f>
        <v>0.2</v>
      </c>
    </row>
    <row r="21" spans="1:24" ht="14.95" customHeight="1">
      <c r="A21" s="1495"/>
      <c r="B21" s="22" t="s">
        <v>987</v>
      </c>
      <c r="C21" s="23" t="s">
        <v>982</v>
      </c>
      <c r="D21" s="24">
        <f>D16</f>
        <v>29455.96345873407</v>
      </c>
      <c r="E21" s="25" t="s">
        <v>980</v>
      </c>
      <c r="F21" s="1086" t="s">
        <v>325</v>
      </c>
      <c r="G21" s="278" t="s">
        <v>1056</v>
      </c>
      <c r="W21" s="1" t="s">
        <v>1004</v>
      </c>
      <c r="X21">
        <f>X20^2</f>
        <v>4.0000000000000008E-2</v>
      </c>
    </row>
    <row r="22" spans="1:24" ht="14.95" customHeight="1" thickBot="1">
      <c r="A22" s="1496"/>
      <c r="B22" s="26" t="s">
        <v>988</v>
      </c>
      <c r="C22" s="27" t="s">
        <v>983</v>
      </c>
      <c r="D22" s="28">
        <f>D18</f>
        <v>19768.239771916975</v>
      </c>
      <c r="E22" s="29" t="s">
        <v>980</v>
      </c>
      <c r="F22" s="1087">
        <f>MIN(D19:D22)</f>
        <v>7391.9999999999991</v>
      </c>
      <c r="G22" s="1090">
        <f>F22/1.3*$D$7</f>
        <v>5117.5384615384601</v>
      </c>
    </row>
    <row r="23" spans="1:24">
      <c r="W23" s="1" t="s">
        <v>1006</v>
      </c>
      <c r="X23">
        <f>((D11+((2*(D11^2))*(1+X20+X21)+(D11^3)*X21))^0.5)-(D11*(1+X20))</f>
        <v>0.67616630392937194</v>
      </c>
    </row>
    <row r="24" spans="1:24">
      <c r="W24" s="1" t="s">
        <v>1007</v>
      </c>
      <c r="X24">
        <f>((2*D11*(1+D11)+(4*D11*(2+D11)*D12)/(D9*D5*D3^2))^0.5)-D11</f>
        <v>1.08677551131693</v>
      </c>
    </row>
    <row r="25" spans="1:24">
      <c r="W25" s="1" t="s">
        <v>1008</v>
      </c>
      <c r="X25">
        <f>((2*D11^2*(1+D11)+(4*D11*(2+D11)*D12)/(D9*D5*D3^2))^0.5)-D11</f>
        <v>1.08677551131693</v>
      </c>
    </row>
    <row r="26" spans="1:24">
      <c r="W26" s="1" t="s">
        <v>1009</v>
      </c>
      <c r="X26">
        <f>(2*D11/(1+D11))^0.5</f>
        <v>1</v>
      </c>
    </row>
    <row r="27" spans="1:24">
      <c r="W27" s="1" t="s">
        <v>1010</v>
      </c>
      <c r="X27">
        <f>(2*D12*D9*D5)^0.5</f>
        <v>17971.127065379067</v>
      </c>
    </row>
  </sheetData>
  <mergeCells count="5">
    <mergeCell ref="A1:E1"/>
    <mergeCell ref="A2:A8"/>
    <mergeCell ref="A13:A22"/>
    <mergeCell ref="F16:G16"/>
    <mergeCell ref="F20:G20"/>
  </mergeCells>
  <phoneticPr fontId="2" type="noConversion"/>
  <hyperlinks>
    <hyperlink ref="F2" location="'M3'!A1" display="RETOUR MENU"/>
  </hyperlinks>
  <pageMargins left="0.78740157499999996" right="0.78740157499999996" top="0.984251969" bottom="0.984251969" header="0.4921259845" footer="0.4921259845"/>
  <headerFooter alignWithMargins="0"/>
  <drawing r:id="rId1"/>
  <legacyDrawing r:id="rId2"/>
  <oleObjects>
    <mc:AlternateContent xmlns:mc="http://schemas.openxmlformats.org/markup-compatibility/2006">
      <mc:Choice Requires="x14">
        <oleObject progId="Equation.3" shapeId="3081" r:id="rId3">
          <objectPr defaultSize="0" autoPict="0" r:id="rId4">
            <anchor moveWithCells="1" sizeWithCells="1">
              <from>
                <xdr:col>5</xdr:col>
                <xdr:colOff>1069675</xdr:colOff>
                <xdr:row>10</xdr:row>
                <xdr:rowOff>69011</xdr:rowOff>
              </from>
              <to>
                <xdr:col>7</xdr:col>
                <xdr:colOff>405442</xdr:colOff>
                <xdr:row>13</xdr:row>
                <xdr:rowOff>103517</xdr:rowOff>
              </to>
            </anchor>
          </objectPr>
        </oleObject>
      </mc:Choice>
      <mc:Fallback>
        <oleObject progId="Equation.3" shapeId="3081" r:id="rId3"/>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C29"/>
  <sheetViews>
    <sheetView workbookViewId="0">
      <selection activeCell="B4" sqref="B4"/>
    </sheetView>
  </sheetViews>
  <sheetFormatPr baseColWidth="10" defaultRowHeight="12.9"/>
  <cols>
    <col min="1" max="1" width="7" customWidth="1"/>
    <col min="2" max="2" width="121.25" customWidth="1"/>
  </cols>
  <sheetData>
    <row r="1" spans="2:3" ht="17.350000000000001" customHeight="1" thickBot="1">
      <c r="B1" s="617" t="s">
        <v>506</v>
      </c>
    </row>
    <row r="2" spans="2:3" ht="6.8" customHeight="1" thickBot="1">
      <c r="B2" s="175"/>
    </row>
    <row r="3" spans="2:3" ht="12.75" customHeight="1">
      <c r="B3" s="555" t="s">
        <v>4</v>
      </c>
    </row>
    <row r="4" spans="2:3" ht="13.6" customHeight="1">
      <c r="B4" s="342" t="s">
        <v>525</v>
      </c>
      <c r="C4">
        <v>9</v>
      </c>
    </row>
    <row r="5" spans="2:3" ht="13.6" customHeight="1">
      <c r="B5" s="342" t="s">
        <v>403</v>
      </c>
      <c r="C5">
        <v>10</v>
      </c>
    </row>
    <row r="6" spans="2:3" ht="13.6" customHeight="1">
      <c r="B6" s="342" t="s">
        <v>406</v>
      </c>
      <c r="C6">
        <v>11</v>
      </c>
    </row>
    <row r="7" spans="2:3" ht="13.6" customHeight="1">
      <c r="B7" s="342" t="s">
        <v>407</v>
      </c>
      <c r="C7">
        <v>25</v>
      </c>
    </row>
    <row r="8" spans="2:3" ht="13.6" customHeight="1">
      <c r="B8" s="342" t="s">
        <v>408</v>
      </c>
      <c r="C8">
        <v>12</v>
      </c>
    </row>
    <row r="9" spans="2:3" ht="13.6" customHeight="1">
      <c r="B9" s="342" t="s">
        <v>409</v>
      </c>
      <c r="C9">
        <v>13</v>
      </c>
    </row>
    <row r="10" spans="2:3" ht="13.6" customHeight="1">
      <c r="B10" s="345" t="s">
        <v>410</v>
      </c>
      <c r="C10">
        <v>14</v>
      </c>
    </row>
    <row r="11" spans="2:3" ht="14.95" customHeight="1">
      <c r="B11" s="556" t="s">
        <v>5</v>
      </c>
    </row>
    <row r="12" spans="2:3" ht="12.75" customHeight="1">
      <c r="B12" s="346" t="s">
        <v>538</v>
      </c>
      <c r="C12">
        <v>15</v>
      </c>
    </row>
    <row r="13" spans="2:3" ht="12.75" customHeight="1">
      <c r="B13" s="347" t="s">
        <v>1252</v>
      </c>
      <c r="C13">
        <v>16</v>
      </c>
    </row>
    <row r="14" spans="2:3" ht="12.75" customHeight="1">
      <c r="B14" s="346" t="s">
        <v>14</v>
      </c>
      <c r="C14">
        <v>17</v>
      </c>
    </row>
    <row r="15" spans="2:3" ht="12.75" customHeight="1">
      <c r="B15" s="346" t="s">
        <v>15</v>
      </c>
      <c r="C15">
        <v>18</v>
      </c>
    </row>
    <row r="16" spans="2:3" ht="12.75" customHeight="1">
      <c r="B16" s="346" t="s">
        <v>399</v>
      </c>
      <c r="C16">
        <v>19</v>
      </c>
    </row>
    <row r="17" spans="2:3" ht="12.75" customHeight="1" thickBot="1">
      <c r="B17" s="348" t="s">
        <v>400</v>
      </c>
      <c r="C17">
        <v>20</v>
      </c>
    </row>
    <row r="18" spans="2:3" ht="14.3" customHeight="1">
      <c r="B18" s="557" t="s">
        <v>6</v>
      </c>
    </row>
    <row r="19" spans="2:3" ht="12.75" customHeight="1">
      <c r="B19" s="346" t="s">
        <v>7</v>
      </c>
      <c r="C19">
        <v>21</v>
      </c>
    </row>
    <row r="20" spans="2:3" ht="12.75" customHeight="1">
      <c r="B20" s="346" t="s">
        <v>26</v>
      </c>
      <c r="C20">
        <v>22</v>
      </c>
    </row>
    <row r="21" spans="2:3" ht="12.75" customHeight="1">
      <c r="B21" s="346" t="s">
        <v>354</v>
      </c>
      <c r="C21">
        <v>23</v>
      </c>
    </row>
    <row r="22" spans="2:3" ht="12.75" customHeight="1" thickBot="1">
      <c r="B22" s="348" t="s">
        <v>355</v>
      </c>
      <c r="C22">
        <v>24</v>
      </c>
    </row>
    <row r="23" spans="2:3" ht="13.6" customHeight="1">
      <c r="B23" s="557" t="s">
        <v>401</v>
      </c>
    </row>
    <row r="24" spans="2:3" ht="12.75" customHeight="1" thickBot="1">
      <c r="B24" s="952" t="s">
        <v>402</v>
      </c>
      <c r="C24">
        <v>26</v>
      </c>
    </row>
    <row r="25" spans="2:3" ht="13.6" customHeight="1">
      <c r="B25" s="557" t="s">
        <v>593</v>
      </c>
    </row>
    <row r="26" spans="2:3" ht="12.75" customHeight="1" thickBot="1">
      <c r="B26" s="1072" t="s">
        <v>594</v>
      </c>
      <c r="C26">
        <v>39</v>
      </c>
    </row>
    <row r="27" spans="2:3" ht="19.55" customHeight="1" thickBot="1">
      <c r="B27" s="605" t="s">
        <v>617</v>
      </c>
      <c r="C27">
        <v>0</v>
      </c>
    </row>
    <row r="28" spans="2:3" ht="3.75" customHeight="1"/>
    <row r="29" spans="2:3" ht="14.3" customHeight="1">
      <c r="B29" s="618" t="s">
        <v>8</v>
      </c>
    </row>
  </sheetData>
  <phoneticPr fontId="2" type="noConversion"/>
  <hyperlinks>
    <hyperlink ref="B4" location="'9'!A1" display="Positionnement des boulons, broches"/>
    <hyperlink ref="B5" location="'10'!A1" display="Boulons Broches                                                         BOIS/BOIS "/>
    <hyperlink ref="B6" location="'11'!A1" display="Boulons Broches                                                         BOIS/CP/OSB"/>
    <hyperlink ref="B8" location="'12'!A1" display="Boulons Broches                                                         ACIER / BOIS ou CP Simple cisaillement "/>
    <hyperlink ref="B9" location="'13'!A1" display="Boulons Broches                                                         ACIER Plaque centrale / BOIS ou CP Double cisaillement  "/>
    <hyperlink ref="B12" location="'15'!A1" display="Positionnement des pointes"/>
    <hyperlink ref="B14" location="'17'!A1" display="Pointes                                                                       BOIS / BOIS cisaillement et arrachement "/>
    <hyperlink ref="B15" location="'18'!A1" display="Pointes                                                                       BOIS / PANNEAU cisaillement et arrachement "/>
    <hyperlink ref="B17" location="'20'!A1" display="Tire-fonds                                                                   BOIS / BOIS et BOIS METAL + ARRACHEMENTS"/>
    <hyperlink ref="B19" location="'21'!A1" display="Positionnement anneaux et crampons"/>
    <hyperlink ref="B20" location="'22'!A1" display="Anneaux                                                                      BOIS / BOIS et BOIS / METAL"/>
    <hyperlink ref="B29" location="MP!A1" display="RETOUR MENU PRINCIPAL"/>
    <hyperlink ref="B13" location="'16'!A1" display="Positionnement des tirefonds"/>
    <hyperlink ref="B22" location="'24'!A1" display="Crampons                                                                   BOIS / METAL"/>
    <hyperlink ref="B16" location="'19'!A1" display="Pointes                                                                       BOIS / ACIER simple cisaillement  "/>
    <hyperlink ref="B21" location="'23'!A1" display="Crampons                                                                   BOIS / BOIS "/>
    <hyperlink ref="B10" location="'14'!A1" display="Boulons Broches                                                         ACIER Plaque latérale / BOIS ou CP Double cisaillement "/>
    <hyperlink ref="B7" location="'25'!A1" display="Boulons Broches                                                         CP/CP"/>
    <hyperlink ref="B24" location="'5-3'!A1" display="Embrèvement avant"/>
    <hyperlink ref="B27" location="'0'!A1" display="GAMMES COMMERCIALES (BOULONS - POINTES - VIS - CRAMPONS - ANNEAUX - CHEVILLES - TENDEURS )"/>
    <hyperlink ref="B26" location="'39'!A1" display="Rupture de bloc"/>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dimension ref="A1:AR4"/>
  <sheetViews>
    <sheetView workbookViewId="0">
      <selection activeCell="B4" sqref="B4:D4"/>
    </sheetView>
  </sheetViews>
  <sheetFormatPr baseColWidth="10" defaultRowHeight="12.9"/>
  <cols>
    <col min="28" max="44" width="11.375" style="344" customWidth="1"/>
  </cols>
  <sheetData>
    <row r="1" spans="1:4">
      <c r="A1" t="s">
        <v>569</v>
      </c>
    </row>
    <row r="3" spans="1:4" ht="13.6" thickBot="1"/>
    <row r="4" spans="1:4" ht="13.6" thickBot="1">
      <c r="B4" s="1417" t="s">
        <v>1142</v>
      </c>
      <c r="C4" s="1418"/>
      <c r="D4" s="1419"/>
    </row>
  </sheetData>
  <mergeCells count="1">
    <mergeCell ref="B4:D4"/>
  </mergeCells>
  <phoneticPr fontId="2" type="noConversion"/>
  <hyperlinks>
    <hyperlink ref="B4" location="MENU!A1" display="RETOUR MENU"/>
    <hyperlink ref="B4:D4" location="'M3'!A1" display="RETOUR MENU"/>
  </hyperlinks>
  <pageMargins left="0.78740157499999996" right="0.78740157499999996" top="0.25" bottom="0.28999999999999998" header="0.13" footer="0.19"/>
  <pageSetup paperSize="9" orientation="landscape" horizontalDpi="4294967293" r:id="rId1"/>
  <headerFooter alignWithMargins="0"/>
  <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1"/>
  <dimension ref="A1:Z23"/>
  <sheetViews>
    <sheetView tabSelected="1" workbookViewId="0">
      <selection activeCell="P13" sqref="P13"/>
    </sheetView>
  </sheetViews>
  <sheetFormatPr baseColWidth="10" defaultRowHeight="12.9"/>
  <cols>
    <col min="1" max="1" width="22.125" customWidth="1"/>
    <col min="2" max="2" width="7.875" customWidth="1"/>
    <col min="9" max="9" width="12.25" bestFit="1" customWidth="1"/>
    <col min="10" max="10" width="5.25" customWidth="1"/>
  </cols>
  <sheetData>
    <row r="1" spans="1:26" ht="21.75" thickBot="1">
      <c r="A1" s="422" t="s">
        <v>421</v>
      </c>
      <c r="B1" s="423"/>
      <c r="C1" s="424"/>
      <c r="D1" s="424"/>
      <c r="E1" s="424"/>
      <c r="F1" s="425"/>
    </row>
    <row r="2" spans="1:26" ht="14.3">
      <c r="A2" s="17" t="s">
        <v>431</v>
      </c>
      <c r="B2" s="436" t="s">
        <v>489</v>
      </c>
      <c r="C2" s="459">
        <v>2.5299999999999998</v>
      </c>
      <c r="I2" s="76" t="s">
        <v>1084</v>
      </c>
      <c r="J2" s="176"/>
    </row>
    <row r="3" spans="1:26" ht="14.3">
      <c r="A3" s="3" t="s">
        <v>430</v>
      </c>
      <c r="B3" s="31" t="s">
        <v>969</v>
      </c>
      <c r="C3" s="460">
        <v>163</v>
      </c>
      <c r="I3" s="76" t="s">
        <v>1085</v>
      </c>
      <c r="J3" s="9"/>
    </row>
    <row r="4" spans="1:26" ht="14.3">
      <c r="A4" s="3" t="s">
        <v>429</v>
      </c>
      <c r="B4" s="31" t="s">
        <v>969</v>
      </c>
      <c r="C4" s="460">
        <v>63</v>
      </c>
      <c r="Z4" s="77">
        <f>(2.38-($C3/250))*(1+($C2/(12*$C3)))</f>
        <v>1.7302350920245395</v>
      </c>
    </row>
    <row r="5" spans="1:26" ht="21.1">
      <c r="A5" s="369" t="s">
        <v>432</v>
      </c>
      <c r="B5" s="262" t="s">
        <v>1110</v>
      </c>
      <c r="C5" s="77">
        <f>C2*1000000/(C3^2)*6/C4</f>
        <v>9.0689292390523146</v>
      </c>
      <c r="Z5" s="77">
        <f>(2.38-($C3/250))*(1+($C2/(6*$C3)))</f>
        <v>1.7324701840490795</v>
      </c>
    </row>
    <row r="6" spans="1:26">
      <c r="C6" s="1"/>
    </row>
    <row r="7" spans="1:26">
      <c r="C7" s="1"/>
    </row>
    <row r="8" spans="1:26">
      <c r="C8" s="1"/>
    </row>
    <row r="9" spans="1:26" ht="18.350000000000001">
      <c r="A9" s="367" t="s">
        <v>433</v>
      </c>
      <c r="B9" s="31" t="s">
        <v>436</v>
      </c>
      <c r="C9" s="461">
        <v>30</v>
      </c>
      <c r="I9" s="375">
        <f>I12</f>
        <v>9.0689292390523146</v>
      </c>
      <c r="J9" s="376" t="str">
        <f>IF(I9&lt;K9,"&lt;","&gt;")</f>
        <v>&lt;</v>
      </c>
      <c r="K9" s="377">
        <f>I13</f>
        <v>15.08307692307692</v>
      </c>
      <c r="L9" t="s">
        <v>444</v>
      </c>
    </row>
    <row r="10" spans="1:26" ht="18.350000000000001">
      <c r="A10" s="367" t="s">
        <v>434</v>
      </c>
      <c r="B10" s="31"/>
      <c r="C10" s="491">
        <v>0.8</v>
      </c>
    </row>
    <row r="11" spans="1:26" ht="19.05" thickBot="1">
      <c r="A11" s="368" t="s">
        <v>435</v>
      </c>
      <c r="B11" s="31"/>
      <c r="C11" s="460">
        <v>1.3</v>
      </c>
    </row>
    <row r="12" spans="1:26" ht="21.1">
      <c r="A12" s="372" t="s">
        <v>439</v>
      </c>
      <c r="B12" s="262" t="s">
        <v>1110</v>
      </c>
      <c r="C12" s="371">
        <f>C9*C10/C11</f>
        <v>18.46153846153846</v>
      </c>
      <c r="I12" s="373">
        <f>C5</f>
        <v>9.0689292390523146</v>
      </c>
      <c r="K12" s="1423">
        <f>C5/C12/C13/C14/C15</f>
        <v>0.60126519842758108</v>
      </c>
    </row>
    <row r="13" spans="1:26" ht="16.3" thickBot="1">
      <c r="A13" s="401" t="s">
        <v>543</v>
      </c>
      <c r="B13" s="31"/>
      <c r="C13" s="462">
        <v>1</v>
      </c>
      <c r="I13" s="160">
        <f>C12*C13*C14*C15</f>
        <v>15.08307692307692</v>
      </c>
      <c r="K13" s="1424"/>
    </row>
    <row r="14" spans="1:26" ht="18.350000000000001">
      <c r="A14" s="370" t="s">
        <v>542</v>
      </c>
      <c r="B14" s="31"/>
      <c r="C14" s="462">
        <v>1</v>
      </c>
      <c r="I14" s="374" t="s">
        <v>444</v>
      </c>
    </row>
    <row r="15" spans="1:26" ht="13.6">
      <c r="A15" s="401" t="s">
        <v>544</v>
      </c>
      <c r="B15" s="31"/>
      <c r="C15" s="462">
        <v>0.81699999999999995</v>
      </c>
    </row>
    <row r="17" spans="1:3">
      <c r="B17" s="1"/>
    </row>
    <row r="18" spans="1:3" ht="13.6" thickBot="1">
      <c r="B18" s="1"/>
    </row>
    <row r="19" spans="1:3" ht="13.6" thickBot="1">
      <c r="A19" s="1417" t="s">
        <v>1142</v>
      </c>
      <c r="B19" s="1418"/>
      <c r="C19" s="1419"/>
    </row>
    <row r="20" spans="1:3">
      <c r="B20" s="1"/>
    </row>
    <row r="21" spans="1:3">
      <c r="B21" s="1"/>
    </row>
    <row r="22" spans="1:3">
      <c r="B22" s="1"/>
    </row>
    <row r="23" spans="1:3">
      <c r="B23" s="1"/>
    </row>
  </sheetData>
  <sheetProtection password="CCC4" sheet="1" objects="1" scenarios="1"/>
  <mergeCells count="2">
    <mergeCell ref="A19:C19"/>
    <mergeCell ref="K12:K13"/>
  </mergeCells>
  <phoneticPr fontId="2" type="noConversion"/>
  <hyperlinks>
    <hyperlink ref="A19" location="MENU!A1" display="RETOUR MENU"/>
    <hyperlink ref="A19:C19" location="'M2'!A1" display="RETOUR MENU"/>
    <hyperlink ref="A13" location="'3'!A1" display="kh"/>
    <hyperlink ref="A15" location="'4'!A1" display="kcrit"/>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oleObjects>
    <mc:AlternateContent xmlns:mc="http://schemas.openxmlformats.org/markup-compatibility/2006">
      <mc:Choice Requires="x14">
        <oleObject progId="Equation.3" shapeId="26629" r:id="rId4">
          <objectPr defaultSize="0" autoPict="0" r:id="rId5">
            <anchor moveWithCells="1" sizeWithCells="1">
              <from>
                <xdr:col>4</xdr:col>
                <xdr:colOff>431321</xdr:colOff>
                <xdr:row>9</xdr:row>
                <xdr:rowOff>224287</xdr:rowOff>
              </from>
              <to>
                <xdr:col>7</xdr:col>
                <xdr:colOff>319177</xdr:colOff>
                <xdr:row>14</xdr:row>
                <xdr:rowOff>34506</xdr:rowOff>
              </to>
            </anchor>
          </objectPr>
        </oleObject>
      </mc:Choice>
      <mc:Fallback>
        <oleObject progId="Equation.3" shapeId="26629" r:id="rId4"/>
      </mc:Fallback>
    </mc:AlternateContent>
    <mc:AlternateContent xmlns:mc="http://schemas.openxmlformats.org/markup-compatibility/2006">
      <mc:Choice Requires="x14">
        <oleObject progId="Equation.3" shapeId="26630" r:id="rId6">
          <objectPr defaultSize="0" autoPict="0" r:id="rId7">
            <anchor moveWithCells="1" sizeWithCells="1">
              <from>
                <xdr:col>4</xdr:col>
                <xdr:colOff>439947</xdr:colOff>
                <xdr:row>17</xdr:row>
                <xdr:rowOff>0</xdr:rowOff>
              </from>
              <to>
                <xdr:col>6</xdr:col>
                <xdr:colOff>370936</xdr:colOff>
                <xdr:row>20</xdr:row>
                <xdr:rowOff>155275</xdr:rowOff>
              </to>
            </anchor>
          </objectPr>
        </oleObject>
      </mc:Choice>
      <mc:Fallback>
        <oleObject progId="Equation.3" shapeId="26630" r:id="rId6"/>
      </mc:Fallback>
    </mc:AlternateContent>
    <mc:AlternateContent xmlns:mc="http://schemas.openxmlformats.org/markup-compatibility/2006">
      <mc:Choice Requires="x14">
        <oleObject progId="Equation.3" shapeId="26631" r:id="rId8">
          <objectPr defaultSize="0" r:id="rId9">
            <anchor moveWithCells="1" sizeWithCells="1">
              <from>
                <xdr:col>4</xdr:col>
                <xdr:colOff>457200</xdr:colOff>
                <xdr:row>2</xdr:row>
                <xdr:rowOff>25879</xdr:rowOff>
              </from>
              <to>
                <xdr:col>6</xdr:col>
                <xdr:colOff>207034</xdr:colOff>
                <xdr:row>4</xdr:row>
                <xdr:rowOff>267419</xdr:rowOff>
              </to>
            </anchor>
          </objectPr>
        </oleObject>
      </mc:Choice>
      <mc:Fallback>
        <oleObject progId="Equation.3" shapeId="26631" r:id="rId8"/>
      </mc:Fallback>
    </mc:AlternateContent>
    <mc:AlternateContent xmlns:mc="http://schemas.openxmlformats.org/markup-compatibility/2006">
      <mc:Choice Requires="x14">
        <oleObject progId="Equation.3" shapeId="26642" r:id="rId10">
          <objectPr defaultSize="0" autoPict="0" r:id="rId11">
            <anchor moveWithCells="1" sizeWithCells="1">
              <from>
                <xdr:col>4</xdr:col>
                <xdr:colOff>431321</xdr:colOff>
                <xdr:row>7</xdr:row>
                <xdr:rowOff>77638</xdr:rowOff>
              </from>
              <to>
                <xdr:col>7</xdr:col>
                <xdr:colOff>293298</xdr:colOff>
                <xdr:row>9</xdr:row>
                <xdr:rowOff>25879</xdr:rowOff>
              </to>
            </anchor>
          </objectPr>
        </oleObject>
      </mc:Choice>
      <mc:Fallback>
        <oleObject progId="Equation.3" shapeId="26642" r:id="rId10"/>
      </mc:Fallback>
    </mc:AlternateContent>
  </oleObject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2"/>
  <dimension ref="A1:Z21"/>
  <sheetViews>
    <sheetView workbookViewId="0">
      <selection activeCell="A16" sqref="A16:C16"/>
    </sheetView>
  </sheetViews>
  <sheetFormatPr baseColWidth="10" defaultRowHeight="12.9"/>
  <cols>
    <col min="1" max="1" width="22.125" customWidth="1"/>
    <col min="2" max="2" width="10.75" customWidth="1"/>
    <col min="9" max="9" width="12.25" bestFit="1" customWidth="1"/>
    <col min="10" max="10" width="3.375" customWidth="1"/>
  </cols>
  <sheetData>
    <row r="1" spans="1:26" ht="22.45">
      <c r="A1" s="1420" t="s">
        <v>440</v>
      </c>
      <c r="B1" s="1421"/>
      <c r="C1" s="1421"/>
      <c r="D1" s="1421"/>
      <c r="E1" s="1421"/>
      <c r="F1" s="1422"/>
      <c r="G1" s="1422"/>
      <c r="H1" s="1422"/>
      <c r="I1" s="1422"/>
      <c r="J1" s="1422"/>
    </row>
    <row r="2" spans="1:26" ht="14.3">
      <c r="A2" s="3" t="s">
        <v>515</v>
      </c>
      <c r="B2" s="437" t="s">
        <v>513</v>
      </c>
      <c r="C2" s="463">
        <v>9.1999999999999993</v>
      </c>
      <c r="I2" s="76" t="s">
        <v>1084</v>
      </c>
      <c r="J2" s="176"/>
    </row>
    <row r="3" spans="1:26" ht="14.3">
      <c r="A3" s="3" t="s">
        <v>1205</v>
      </c>
      <c r="B3" s="31" t="s">
        <v>969</v>
      </c>
      <c r="C3" s="460">
        <v>175</v>
      </c>
      <c r="I3" s="76" t="s">
        <v>1085</v>
      </c>
      <c r="J3" s="9"/>
    </row>
    <row r="4" spans="1:26" ht="14.3">
      <c r="A4" s="3" t="s">
        <v>1206</v>
      </c>
      <c r="B4" s="31" t="s">
        <v>969</v>
      </c>
      <c r="C4" s="460">
        <v>100</v>
      </c>
      <c r="Z4" s="77">
        <f>(2.38-($C3/250))*(1+($C2/(12*$C3)))</f>
        <v>1.68736</v>
      </c>
    </row>
    <row r="5" spans="1:26" ht="21.1">
      <c r="A5" s="369" t="s">
        <v>443</v>
      </c>
      <c r="B5" s="262" t="s">
        <v>1110</v>
      </c>
      <c r="C5" s="77">
        <f>(C2*1000)/C3/C4</f>
        <v>0.52571428571428569</v>
      </c>
      <c r="Z5" s="77">
        <f>(2.38-($C3/250))*(1+($C2/(6*$C3)))</f>
        <v>1.69472</v>
      </c>
    </row>
    <row r="6" spans="1:26">
      <c r="C6" s="1"/>
    </row>
    <row r="7" spans="1:26" ht="4.5999999999999996" customHeight="1">
      <c r="C7" s="1"/>
    </row>
    <row r="8" spans="1:26" ht="5.95" customHeight="1">
      <c r="C8" s="1"/>
    </row>
    <row r="9" spans="1:26" ht="18.350000000000001">
      <c r="A9" s="367" t="s">
        <v>441</v>
      </c>
      <c r="B9" s="31" t="s">
        <v>436</v>
      </c>
      <c r="C9" s="461">
        <v>22</v>
      </c>
      <c r="I9" s="1246">
        <f>I12</f>
        <v>0.52571428571428569</v>
      </c>
      <c r="J9" s="376" t="str">
        <f>IF(I9&lt;K9,"&lt;","&gt;")</f>
        <v>&lt;</v>
      </c>
      <c r="K9" s="1247">
        <f>I13</f>
        <v>3.7230769230769236</v>
      </c>
      <c r="L9" t="s">
        <v>444</v>
      </c>
    </row>
    <row r="10" spans="1:26" ht="18.350000000000001">
      <c r="A10" s="367" t="s">
        <v>434</v>
      </c>
      <c r="B10" s="4"/>
      <c r="C10" s="491">
        <v>1.1000000000000001</v>
      </c>
    </row>
    <row r="11" spans="1:26" ht="19.05" thickBot="1">
      <c r="A11" s="368" t="s">
        <v>435</v>
      </c>
      <c r="B11" s="31"/>
      <c r="C11" s="460">
        <v>1.3</v>
      </c>
    </row>
    <row r="12" spans="1:26" ht="21.1">
      <c r="A12" s="372" t="s">
        <v>442</v>
      </c>
      <c r="B12" s="523" t="s">
        <v>1110</v>
      </c>
      <c r="C12" s="371">
        <f>C9*C10/C11</f>
        <v>18.615384615384617</v>
      </c>
      <c r="I12" s="1244">
        <f>C5</f>
        <v>0.52571428571428569</v>
      </c>
      <c r="K12" s="1423">
        <f>C5/C12/C13</f>
        <v>0.14120425029515937</v>
      </c>
    </row>
    <row r="13" spans="1:26" ht="16.3" thickBot="1">
      <c r="A13" s="400" t="s">
        <v>394</v>
      </c>
      <c r="B13" s="524" t="s">
        <v>571</v>
      </c>
      <c r="C13" s="522">
        <v>0.2</v>
      </c>
      <c r="I13" s="1245">
        <f>C12*C13</f>
        <v>3.7230769230769236</v>
      </c>
      <c r="K13" s="1424"/>
    </row>
    <row r="14" spans="1:26">
      <c r="I14" s="374" t="s">
        <v>444</v>
      </c>
    </row>
    <row r="15" spans="1:26" ht="13.6" thickBot="1">
      <c r="B15" s="1"/>
    </row>
    <row r="16" spans="1:26" ht="13.6" thickBot="1">
      <c r="A16" s="1417" t="s">
        <v>1142</v>
      </c>
      <c r="B16" s="1418"/>
      <c r="C16" s="1419"/>
    </row>
    <row r="17" spans="1:2">
      <c r="A17" t="s">
        <v>437</v>
      </c>
      <c r="B17" s="1"/>
    </row>
    <row r="18" spans="1:2">
      <c r="B18" s="1"/>
    </row>
    <row r="19" spans="1:2">
      <c r="B19" s="1"/>
    </row>
    <row r="20" spans="1:2">
      <c r="B20" s="1"/>
    </row>
    <row r="21" spans="1:2">
      <c r="B21" s="1"/>
    </row>
  </sheetData>
  <mergeCells count="3">
    <mergeCell ref="A16:C16"/>
    <mergeCell ref="K12:K13"/>
    <mergeCell ref="A1:J1"/>
  </mergeCells>
  <phoneticPr fontId="2" type="noConversion"/>
  <hyperlinks>
    <hyperlink ref="A16" location="MENU!A1" display="RETOUR MENU"/>
    <hyperlink ref="A16:C16" location="'M2'!A1" display="RETOUR MENU"/>
    <hyperlink ref="A13" location="'5'!A1" display="kcy"/>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oleObjects>
    <mc:AlternateContent xmlns:mc="http://schemas.openxmlformats.org/markup-compatibility/2006">
      <mc:Choice Requires="x14">
        <oleObject progId="Equation.3" shapeId="27651" r:id="rId4">
          <objectPr defaultSize="0" r:id="rId5">
            <anchor moveWithCells="1" sizeWithCells="1">
              <from>
                <xdr:col>4</xdr:col>
                <xdr:colOff>457200</xdr:colOff>
                <xdr:row>2</xdr:row>
                <xdr:rowOff>25879</xdr:rowOff>
              </from>
              <to>
                <xdr:col>6</xdr:col>
                <xdr:colOff>207034</xdr:colOff>
                <xdr:row>4</xdr:row>
                <xdr:rowOff>267419</xdr:rowOff>
              </to>
            </anchor>
          </objectPr>
        </oleObject>
      </mc:Choice>
      <mc:Fallback>
        <oleObject progId="Equation.3" shapeId="27651" r:id="rId4"/>
      </mc:Fallback>
    </mc:AlternateContent>
    <mc:AlternateContent xmlns:mc="http://schemas.openxmlformats.org/markup-compatibility/2006">
      <mc:Choice Requires="x14">
        <oleObject progId="Equation.3" shapeId="27660" r:id="rId6">
          <objectPr defaultSize="0" autoPict="0" r:id="rId7">
            <anchor moveWithCells="1" sizeWithCells="1">
              <from>
                <xdr:col>4</xdr:col>
                <xdr:colOff>508958</xdr:colOff>
                <xdr:row>10</xdr:row>
                <xdr:rowOff>0</xdr:rowOff>
              </from>
              <to>
                <xdr:col>7</xdr:col>
                <xdr:colOff>215660</xdr:colOff>
                <xdr:row>13</xdr:row>
                <xdr:rowOff>94891</xdr:rowOff>
              </to>
            </anchor>
          </objectPr>
        </oleObject>
      </mc:Choice>
      <mc:Fallback>
        <oleObject progId="Equation.3" shapeId="27660" r:id="rId6"/>
      </mc:Fallback>
    </mc:AlternateContent>
    <mc:AlternateContent xmlns:mc="http://schemas.openxmlformats.org/markup-compatibility/2006">
      <mc:Choice Requires="x14">
        <oleObject progId="Equation.3" shapeId="27661" r:id="rId8">
          <objectPr defaultSize="0" autoPict="0" r:id="rId9">
            <anchor moveWithCells="1" sizeWithCells="1">
              <from>
                <xdr:col>4</xdr:col>
                <xdr:colOff>439947</xdr:colOff>
                <xdr:row>16</xdr:row>
                <xdr:rowOff>112143</xdr:rowOff>
              </from>
              <to>
                <xdr:col>6</xdr:col>
                <xdr:colOff>526211</xdr:colOff>
                <xdr:row>20</xdr:row>
                <xdr:rowOff>103517</xdr:rowOff>
              </to>
            </anchor>
          </objectPr>
        </oleObject>
      </mc:Choice>
      <mc:Fallback>
        <oleObject progId="Equation.3" shapeId="27661" r:id="rId8"/>
      </mc:Fallback>
    </mc:AlternateContent>
    <mc:AlternateContent xmlns:mc="http://schemas.openxmlformats.org/markup-compatibility/2006">
      <mc:Choice Requires="x14">
        <oleObject progId="Equation.3" shapeId="27667" r:id="rId10">
          <objectPr defaultSize="0" autoPict="0" r:id="rId11">
            <anchor moveWithCells="1" sizeWithCells="1">
              <from>
                <xdr:col>4</xdr:col>
                <xdr:colOff>526211</xdr:colOff>
                <xdr:row>7</xdr:row>
                <xdr:rowOff>60385</xdr:rowOff>
              </from>
              <to>
                <xdr:col>7</xdr:col>
                <xdr:colOff>172528</xdr:colOff>
                <xdr:row>9</xdr:row>
                <xdr:rowOff>60385</xdr:rowOff>
              </to>
            </anchor>
          </objectPr>
        </oleObject>
      </mc:Choice>
      <mc:Fallback>
        <oleObject progId="Equation.3" shapeId="27667" r:id="rId10"/>
      </mc:Fallback>
    </mc:AlternateContent>
  </oleObject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3"/>
  <dimension ref="A1:Z21"/>
  <sheetViews>
    <sheetView workbookViewId="0">
      <selection activeCell="A16" sqref="A16:C16"/>
    </sheetView>
  </sheetViews>
  <sheetFormatPr baseColWidth="10" defaultRowHeight="12.9"/>
  <cols>
    <col min="1" max="1" width="22.125" customWidth="1"/>
    <col min="2" max="2" width="7.875" customWidth="1"/>
    <col min="9" max="9" width="12.25" bestFit="1" customWidth="1"/>
    <col min="10" max="10" width="3.375" customWidth="1"/>
  </cols>
  <sheetData>
    <row r="1" spans="1:26" ht="21.1">
      <c r="A1" s="365" t="s">
        <v>446</v>
      </c>
      <c r="B1" s="285"/>
      <c r="C1" s="284"/>
      <c r="D1" s="284"/>
      <c r="E1" s="284"/>
      <c r="F1" s="285"/>
    </row>
    <row r="2" spans="1:26" ht="14.3">
      <c r="A2" s="3" t="s">
        <v>449</v>
      </c>
      <c r="B2" s="437" t="s">
        <v>513</v>
      </c>
      <c r="C2" s="463">
        <v>287</v>
      </c>
      <c r="I2" s="76" t="s">
        <v>1084</v>
      </c>
      <c r="J2" s="176"/>
    </row>
    <row r="3" spans="1:26" ht="14.3">
      <c r="A3" s="3" t="s">
        <v>430</v>
      </c>
      <c r="B3" s="31" t="s">
        <v>969</v>
      </c>
      <c r="C3" s="460">
        <v>120</v>
      </c>
      <c r="I3" s="76" t="s">
        <v>1085</v>
      </c>
      <c r="J3" s="9"/>
    </row>
    <row r="4" spans="1:26" ht="14.3">
      <c r="A4" s="3" t="s">
        <v>429</v>
      </c>
      <c r="B4" s="31" t="s">
        <v>969</v>
      </c>
      <c r="C4" s="460">
        <v>110</v>
      </c>
      <c r="Z4" s="77">
        <f>(2.38-($C3/250))*(1+($C2/(12*$C3)))</f>
        <v>2.2786805555555554</v>
      </c>
    </row>
    <row r="5" spans="1:26" ht="21.1">
      <c r="A5" s="369" t="s">
        <v>447</v>
      </c>
      <c r="B5" s="262" t="s">
        <v>1110</v>
      </c>
      <c r="C5" s="77">
        <f>C2*1000/C3/C4</f>
        <v>21.742424242424242</v>
      </c>
      <c r="Z5" s="77">
        <f>(2.38-($C3/250))*(1+($C2/(6*$C3)))</f>
        <v>2.6573611111111113</v>
      </c>
    </row>
    <row r="6" spans="1:26">
      <c r="C6" s="1"/>
    </row>
    <row r="7" spans="1:26">
      <c r="C7" s="1"/>
    </row>
    <row r="8" spans="1:26">
      <c r="C8" s="1"/>
    </row>
    <row r="9" spans="1:26" ht="18.350000000000001">
      <c r="A9" s="367" t="s">
        <v>516</v>
      </c>
      <c r="B9" s="31" t="s">
        <v>436</v>
      </c>
      <c r="C9" s="461">
        <v>26</v>
      </c>
      <c r="I9" s="375">
        <f>I12</f>
        <v>21.742424242424242</v>
      </c>
      <c r="J9" s="376" t="str">
        <f>IF(I9&lt;K9,"&lt;","&gt;")</f>
        <v>&lt;</v>
      </c>
      <c r="K9" s="377">
        <f>I13</f>
        <v>22.880000000000003</v>
      </c>
      <c r="L9" t="s">
        <v>444</v>
      </c>
    </row>
    <row r="10" spans="1:26" ht="18.350000000000001">
      <c r="A10" s="367" t="s">
        <v>434</v>
      </c>
      <c r="B10" s="31"/>
      <c r="C10" s="491">
        <v>1.1000000000000001</v>
      </c>
    </row>
    <row r="11" spans="1:26" ht="19.05" thickBot="1">
      <c r="A11" s="368" t="s">
        <v>435</v>
      </c>
      <c r="B11" s="31"/>
      <c r="C11" s="460">
        <v>1.25</v>
      </c>
    </row>
    <row r="12" spans="1:26" ht="21.1">
      <c r="A12" s="372" t="s">
        <v>448</v>
      </c>
      <c r="B12" s="262" t="s">
        <v>1110</v>
      </c>
      <c r="C12" s="371">
        <f>C9*C10/C11</f>
        <v>22.880000000000003</v>
      </c>
      <c r="I12" s="373">
        <f>C5</f>
        <v>21.742424242424242</v>
      </c>
      <c r="K12" s="1423">
        <f>C5/C12/C13</f>
        <v>0.95028077982623427</v>
      </c>
    </row>
    <row r="13" spans="1:26" ht="16.3" thickBot="1">
      <c r="A13" s="401" t="s">
        <v>450</v>
      </c>
      <c r="B13" s="31"/>
      <c r="C13" s="462">
        <v>1</v>
      </c>
      <c r="I13" s="160">
        <f>C12*C13</f>
        <v>22.880000000000003</v>
      </c>
      <c r="K13" s="1424"/>
    </row>
    <row r="14" spans="1:26">
      <c r="I14" s="374" t="s">
        <v>444</v>
      </c>
    </row>
    <row r="15" spans="1:26" ht="13.6" thickBot="1">
      <c r="B15" s="1"/>
    </row>
    <row r="16" spans="1:26" ht="13.6" thickBot="1">
      <c r="A16" s="1417" t="s">
        <v>1142</v>
      </c>
      <c r="B16" s="1418"/>
      <c r="C16" s="1419"/>
    </row>
    <row r="17" spans="1:2">
      <c r="A17" t="s">
        <v>437</v>
      </c>
      <c r="B17" s="1"/>
    </row>
    <row r="18" spans="1:2">
      <c r="B18" s="1"/>
    </row>
    <row r="19" spans="1:2">
      <c r="B19" s="1"/>
    </row>
    <row r="20" spans="1:2">
      <c r="B20" s="1"/>
    </row>
    <row r="21" spans="1:2">
      <c r="B21" s="1"/>
    </row>
  </sheetData>
  <sheetProtection password="CCC4" sheet="1" objects="1" scenarios="1"/>
  <mergeCells count="2">
    <mergeCell ref="A16:C16"/>
    <mergeCell ref="K12:K13"/>
  </mergeCells>
  <phoneticPr fontId="2" type="noConversion"/>
  <hyperlinks>
    <hyperlink ref="A16" location="MENU!A1" display="RETOUR MENU"/>
    <hyperlink ref="A16:C16" location="'M2'!A1" display="RETOUR MENU"/>
    <hyperlink ref="A13" location="'3'!A1" display="kh"/>
  </hyperlinks>
  <pageMargins left="0.78740157499999996" right="0.78740157499999996" top="0.984251969" bottom="0.984251969" header="0.4921259845" footer="0.4921259845"/>
  <pageSetup paperSize="9" orientation="portrait" horizontalDpi="4294967293" verticalDpi="300" r:id="rId1"/>
  <headerFooter alignWithMargins="0"/>
  <drawing r:id="rId2"/>
  <legacyDrawing r:id="rId3"/>
  <oleObjects>
    <mc:AlternateContent xmlns:mc="http://schemas.openxmlformats.org/markup-compatibility/2006">
      <mc:Choice Requires="x14">
        <oleObject progId="Equation.3" shapeId="28673" r:id="rId4">
          <objectPr defaultSize="0" r:id="rId5">
            <anchor moveWithCells="1" sizeWithCells="1">
              <from>
                <xdr:col>3</xdr:col>
                <xdr:colOff>595223</xdr:colOff>
                <xdr:row>1</xdr:row>
                <xdr:rowOff>94891</xdr:rowOff>
              </from>
              <to>
                <xdr:col>5</xdr:col>
                <xdr:colOff>353683</xdr:colOff>
                <xdr:row>4</xdr:row>
                <xdr:rowOff>146649</xdr:rowOff>
              </to>
            </anchor>
          </objectPr>
        </oleObject>
      </mc:Choice>
      <mc:Fallback>
        <oleObject progId="Equation.3" shapeId="28673" r:id="rId4"/>
      </mc:Fallback>
    </mc:AlternateContent>
    <mc:AlternateContent xmlns:mc="http://schemas.openxmlformats.org/markup-compatibility/2006">
      <mc:Choice Requires="x14">
        <oleObject progId="Equation.3" shapeId="28680" r:id="rId6">
          <objectPr defaultSize="0" autoPict="0" r:id="rId7">
            <anchor moveWithCells="1" sizeWithCells="1">
              <from>
                <xdr:col>4</xdr:col>
                <xdr:colOff>431321</xdr:colOff>
                <xdr:row>7</xdr:row>
                <xdr:rowOff>77638</xdr:rowOff>
              </from>
              <to>
                <xdr:col>7</xdr:col>
                <xdr:colOff>293298</xdr:colOff>
                <xdr:row>9</xdr:row>
                <xdr:rowOff>25879</xdr:rowOff>
              </to>
            </anchor>
          </objectPr>
        </oleObject>
      </mc:Choice>
      <mc:Fallback>
        <oleObject progId="Equation.3" shapeId="28680" r:id="rId6"/>
      </mc:Fallback>
    </mc:AlternateContent>
    <mc:AlternateContent xmlns:mc="http://schemas.openxmlformats.org/markup-compatibility/2006">
      <mc:Choice Requires="x14">
        <oleObject progId="Equation.3" shapeId="28682" r:id="rId8">
          <objectPr defaultSize="0" autoPict="0" r:id="rId9">
            <anchor moveWithCells="1" sizeWithCells="1">
              <from>
                <xdr:col>4</xdr:col>
                <xdr:colOff>439947</xdr:colOff>
                <xdr:row>16</xdr:row>
                <xdr:rowOff>112143</xdr:rowOff>
              </from>
              <to>
                <xdr:col>6</xdr:col>
                <xdr:colOff>526211</xdr:colOff>
                <xdr:row>20</xdr:row>
                <xdr:rowOff>103517</xdr:rowOff>
              </to>
            </anchor>
          </objectPr>
        </oleObject>
      </mc:Choice>
      <mc:Fallback>
        <oleObject progId="Equation.3" shapeId="28682" r:id="rId8"/>
      </mc:Fallback>
    </mc:AlternateContent>
    <mc:AlternateContent xmlns:mc="http://schemas.openxmlformats.org/markup-compatibility/2006">
      <mc:Choice Requires="x14">
        <oleObject progId="Equation.3" shapeId="28687" r:id="rId10">
          <objectPr defaultSize="0" autoPict="0" r:id="rId11">
            <anchor moveWithCells="1" sizeWithCells="1">
              <from>
                <xdr:col>4</xdr:col>
                <xdr:colOff>543464</xdr:colOff>
                <xdr:row>10</xdr:row>
                <xdr:rowOff>129396</xdr:rowOff>
              </from>
              <to>
                <xdr:col>6</xdr:col>
                <xdr:colOff>543464</xdr:colOff>
                <xdr:row>15</xdr:row>
                <xdr:rowOff>8626</xdr:rowOff>
              </to>
            </anchor>
          </objectPr>
        </oleObject>
      </mc:Choice>
      <mc:Fallback>
        <oleObject progId="Equation.3" shapeId="28687" r:id="rId10"/>
      </mc:Fallback>
    </mc:AlternateContent>
  </oleObject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4"/>
  <dimension ref="A1:AH132"/>
  <sheetViews>
    <sheetView workbookViewId="0">
      <selection activeCell="F18" sqref="F18:H18"/>
    </sheetView>
  </sheetViews>
  <sheetFormatPr baseColWidth="10" defaultRowHeight="12.9"/>
  <cols>
    <col min="1" max="1" width="35.75" customWidth="1"/>
    <col min="2" max="2" width="9.75" style="1" customWidth="1"/>
    <col min="3" max="3" width="13" bestFit="1" customWidth="1"/>
    <col min="4" max="4" width="38" customWidth="1"/>
    <col min="5" max="5" width="4.375" style="287" customWidth="1"/>
    <col min="6" max="6" width="13.625" customWidth="1"/>
    <col min="7" max="10" width="7.75" customWidth="1"/>
    <col min="13" max="16" width="7" hidden="1" customWidth="1"/>
    <col min="20" max="20" width="12.375" bestFit="1" customWidth="1"/>
    <col min="22" max="22" width="11.625" bestFit="1" customWidth="1"/>
    <col min="24" max="24" width="13.625" bestFit="1" customWidth="1"/>
  </cols>
  <sheetData>
    <row r="1" spans="1:34" ht="26.35" customHeight="1">
      <c r="A1" s="1437" t="s">
        <v>1222</v>
      </c>
      <c r="B1" s="1438"/>
      <c r="C1" s="1446"/>
      <c r="D1" s="1446"/>
      <c r="E1" s="84"/>
      <c r="F1" s="280"/>
      <c r="AG1" t="s">
        <v>1258</v>
      </c>
    </row>
    <row r="2" spans="1:34" ht="15.8" customHeight="1">
      <c r="A2" s="287" t="s">
        <v>1235</v>
      </c>
      <c r="B2" s="67" t="s">
        <v>969</v>
      </c>
      <c r="C2" s="460">
        <v>3300</v>
      </c>
      <c r="D2" s="1172"/>
      <c r="F2" s="67" t="s">
        <v>1084</v>
      </c>
      <c r="G2" s="176"/>
    </row>
    <row r="3" spans="1:34" ht="15.8" customHeight="1">
      <c r="A3" s="287" t="s">
        <v>1236</v>
      </c>
      <c r="B3" s="67" t="s">
        <v>969</v>
      </c>
      <c r="C3" s="460">
        <v>3300</v>
      </c>
      <c r="D3" s="1172"/>
      <c r="F3" s="67" t="s">
        <v>1085</v>
      </c>
      <c r="G3" s="9"/>
      <c r="S3" s="1" t="s">
        <v>1242</v>
      </c>
      <c r="T3" s="337">
        <f>(C5*C4^3)/12</f>
        <v>23435360.666666668</v>
      </c>
      <c r="U3" s="1" t="s">
        <v>386</v>
      </c>
      <c r="V3" s="338">
        <f>(T3/(C4*C5))^0.5</f>
        <v>44.455970727601184</v>
      </c>
      <c r="W3" s="1" t="s">
        <v>387</v>
      </c>
      <c r="X3" s="15">
        <f>C2/V3</f>
        <v>74.230748895809029</v>
      </c>
      <c r="Y3" t="s">
        <v>388</v>
      </c>
      <c r="Z3" s="336">
        <f>(X3/PI())*(C24/C23)^0.5</f>
        <v>1.3835363380990999</v>
      </c>
      <c r="AA3" t="s">
        <v>393</v>
      </c>
      <c r="AB3">
        <f>0.5*(1+(AA22*(Z3-0.3))+(Z3^2))</f>
        <v>1.5112632163252884</v>
      </c>
      <c r="AC3" t="s">
        <v>394</v>
      </c>
      <c r="AD3">
        <f>1/(AB3+(((AB3^2)-(Z3^2)))^0.5)</f>
        <v>0.47184750993904856</v>
      </c>
      <c r="AG3" t="s">
        <v>1261</v>
      </c>
      <c r="AH3">
        <f>C27*1000/120/C25</f>
        <v>446.54302243487552</v>
      </c>
    </row>
    <row r="4" spans="1:34" ht="15.8" customHeight="1">
      <c r="A4" s="287" t="s">
        <v>978</v>
      </c>
      <c r="B4" s="67" t="s">
        <v>969</v>
      </c>
      <c r="C4" s="460">
        <v>154</v>
      </c>
      <c r="D4" s="1172"/>
      <c r="S4" s="1"/>
      <c r="T4" s="337"/>
      <c r="U4" s="1"/>
      <c r="V4" s="338"/>
      <c r="W4" s="1"/>
      <c r="X4" s="15"/>
      <c r="Y4" t="s">
        <v>388</v>
      </c>
      <c r="Z4" s="336">
        <f>B16</f>
        <v>1.3923494223613735</v>
      </c>
      <c r="AA4" t="s">
        <v>393</v>
      </c>
      <c r="AB4">
        <f>0.5*(1+($AA$22*(Z4-0.3))+(Z4^2))</f>
        <v>1.5239359280930938</v>
      </c>
      <c r="AC4" t="s">
        <v>394</v>
      </c>
      <c r="AD4">
        <f>1/(AB4+(((AB4^2)-(Z4^2)))^0.5)</f>
        <v>0.46654705787887879</v>
      </c>
      <c r="AG4" t="s">
        <v>1262</v>
      </c>
      <c r="AH4">
        <f>C27*1000*B15/3600/C25</f>
        <v>1111.3819498901364</v>
      </c>
    </row>
    <row r="5" spans="1:34" ht="15.8" customHeight="1">
      <c r="A5" s="287" t="s">
        <v>1223</v>
      </c>
      <c r="B5" s="67" t="s">
        <v>969</v>
      </c>
      <c r="C5" s="460">
        <v>77</v>
      </c>
      <c r="D5" s="1172"/>
      <c r="U5" s="1"/>
      <c r="V5" s="338"/>
      <c r="W5" s="1"/>
      <c r="X5" s="15"/>
      <c r="Z5" s="336"/>
      <c r="AG5" t="s">
        <v>1263</v>
      </c>
      <c r="AH5">
        <f>C27*1000/60/C25</f>
        <v>893.08604486975105</v>
      </c>
    </row>
    <row r="6" spans="1:34" ht="15.8" customHeight="1">
      <c r="A6" s="212" t="s">
        <v>1224</v>
      </c>
      <c r="B6" s="67" t="s">
        <v>969</v>
      </c>
      <c r="C6" s="460">
        <v>0</v>
      </c>
      <c r="U6" s="1"/>
      <c r="V6" s="338"/>
      <c r="W6" s="1"/>
      <c r="X6" s="15"/>
    </row>
    <row r="7" spans="1:34" ht="15.8" customHeight="1">
      <c r="A7" s="212" t="s">
        <v>1230</v>
      </c>
      <c r="B7" s="67" t="s">
        <v>969</v>
      </c>
      <c r="C7" s="460">
        <v>100</v>
      </c>
      <c r="D7" s="189"/>
      <c r="R7">
        <f>INDEX(V8:V10,S7,1)</f>
        <v>3.2</v>
      </c>
      <c r="S7">
        <v>2</v>
      </c>
      <c r="AG7" t="s">
        <v>1031</v>
      </c>
      <c r="AH7">
        <f>C6+C5</f>
        <v>77</v>
      </c>
    </row>
    <row r="8" spans="1:34" ht="15.8" customHeight="1">
      <c r="A8" s="212" t="s">
        <v>1229</v>
      </c>
      <c r="B8" s="11"/>
      <c r="C8" s="1168"/>
      <c r="D8" s="189"/>
      <c r="S8" t="s">
        <v>1225</v>
      </c>
      <c r="T8">
        <v>1</v>
      </c>
      <c r="U8">
        <v>1</v>
      </c>
      <c r="V8">
        <v>1</v>
      </c>
      <c r="AG8" t="s">
        <v>1264</v>
      </c>
      <c r="AH8">
        <f>C28*1000*C7/AH7</f>
        <v>1159.852006324352</v>
      </c>
    </row>
    <row r="9" spans="1:34" ht="15.8" customHeight="1">
      <c r="A9" s="212" t="s">
        <v>1228</v>
      </c>
      <c r="B9" s="67" t="s">
        <v>350</v>
      </c>
      <c r="C9" s="1175">
        <v>0.2</v>
      </c>
      <c r="D9" s="189"/>
      <c r="S9" t="s">
        <v>1226</v>
      </c>
      <c r="T9">
        <v>4</v>
      </c>
      <c r="U9">
        <v>3</v>
      </c>
      <c r="V9">
        <f>T9*C9+U9*(1-C9)</f>
        <v>3.2</v>
      </c>
    </row>
    <row r="10" spans="1:34" ht="15.8" customHeight="1">
      <c r="A10" s="212"/>
      <c r="B10" s="11"/>
      <c r="C10" s="1181" t="s">
        <v>1246</v>
      </c>
      <c r="D10" s="189"/>
      <c r="S10" t="s">
        <v>1227</v>
      </c>
      <c r="T10">
        <v>3.5</v>
      </c>
      <c r="U10">
        <v>2.5</v>
      </c>
      <c r="V10">
        <f>T10*C9+U10*(1-C9)</f>
        <v>2.7</v>
      </c>
    </row>
    <row r="11" spans="1:34" ht="16.5" customHeight="1">
      <c r="A11" s="1174" t="s">
        <v>1238</v>
      </c>
      <c r="B11" s="11"/>
      <c r="C11" s="1173"/>
      <c r="D11" s="189"/>
    </row>
    <row r="12" spans="1:34" ht="15.8" customHeight="1">
      <c r="A12" s="212" t="s">
        <v>1231</v>
      </c>
      <c r="B12" s="1044">
        <f>R7</f>
        <v>3.2</v>
      </c>
      <c r="C12" s="1173"/>
      <c r="D12" s="189"/>
    </row>
    <row r="13" spans="1:34" ht="15.8" customHeight="1">
      <c r="A13" s="212" t="s">
        <v>1233</v>
      </c>
      <c r="B13" s="1179">
        <f>T15</f>
        <v>74.230748895809029</v>
      </c>
      <c r="C13" s="1173"/>
      <c r="D13" s="189"/>
      <c r="S13" t="s">
        <v>1240</v>
      </c>
      <c r="T13">
        <f>C4*C5*2</f>
        <v>23716</v>
      </c>
    </row>
    <row r="14" spans="1:34" ht="15.8" customHeight="1">
      <c r="A14" s="212" t="s">
        <v>1232</v>
      </c>
      <c r="B14" s="1179">
        <f>T16</f>
        <v>4.4988332664126682</v>
      </c>
      <c r="C14" s="1173"/>
      <c r="D14" s="189"/>
      <c r="S14" t="s">
        <v>1241</v>
      </c>
      <c r="T14">
        <f>(((C5+C6+C5)^3)-(C6^3))*C4/12</f>
        <v>46870721.333333336</v>
      </c>
    </row>
    <row r="15" spans="1:34" ht="15.8" customHeight="1">
      <c r="A15" s="212" t="s">
        <v>1234</v>
      </c>
      <c r="B15" s="1179">
        <f>(T15^2+B12*T16^2)^0.5</f>
        <v>74.665724961734583</v>
      </c>
      <c r="C15" s="1173"/>
      <c r="D15" s="1176" t="s">
        <v>1243</v>
      </c>
      <c r="S15" t="s">
        <v>387</v>
      </c>
      <c r="T15">
        <f>C3*((T13/T14)^0.5)</f>
        <v>74.230748895809029</v>
      </c>
    </row>
    <row r="16" spans="1:34" ht="15.8" customHeight="1">
      <c r="A16" s="212" t="s">
        <v>1237</v>
      </c>
      <c r="B16" s="1180">
        <f>B15/3.14*(C24/C23)^0.5</f>
        <v>1.3923494223613735</v>
      </c>
      <c r="C16" s="1173"/>
      <c r="D16" s="189"/>
      <c r="S16" t="s">
        <v>1266</v>
      </c>
      <c r="T16">
        <f>12^0.5*C7/C5</f>
        <v>4.4988332664126682</v>
      </c>
    </row>
    <row r="17" spans="1:31" ht="15.8" customHeight="1" thickBot="1">
      <c r="A17" s="212" t="s">
        <v>1245</v>
      </c>
      <c r="B17" s="1180">
        <f>AD4</f>
        <v>0.46654705787887879</v>
      </c>
      <c r="C17" s="1173"/>
      <c r="D17" s="189"/>
    </row>
    <row r="18" spans="1:31" ht="15.8" customHeight="1" thickBot="1">
      <c r="A18" s="1174" t="s">
        <v>1239</v>
      </c>
      <c r="B18" s="578"/>
      <c r="C18" s="1173"/>
      <c r="D18" s="189"/>
      <c r="F18" s="1417" t="s">
        <v>1142</v>
      </c>
      <c r="G18" s="1418"/>
      <c r="H18" s="1419"/>
    </row>
    <row r="19" spans="1:31" ht="15.8" customHeight="1">
      <c r="A19" s="212" t="s">
        <v>1237</v>
      </c>
      <c r="B19" s="1180">
        <f>Z3</f>
        <v>1.3835363380990999</v>
      </c>
      <c r="C19" s="1173"/>
      <c r="D19" s="189"/>
    </row>
    <row r="20" spans="1:31" ht="15.8" customHeight="1">
      <c r="A20" s="212" t="s">
        <v>1245</v>
      </c>
      <c r="B20" s="1180">
        <f>AD3</f>
        <v>0.47184750993904856</v>
      </c>
      <c r="C20" s="1173"/>
      <c r="D20" s="189"/>
    </row>
    <row r="21" spans="1:31" ht="9" customHeight="1">
      <c r="A21" s="212"/>
      <c r="B21" s="11"/>
      <c r="C21" s="1173"/>
      <c r="D21" s="189"/>
    </row>
    <row r="22" spans="1:31" ht="15.8" customHeight="1">
      <c r="A22" s="1169" t="s">
        <v>391</v>
      </c>
      <c r="B22" s="11" t="s">
        <v>389</v>
      </c>
      <c r="C22" s="1168">
        <v>2</v>
      </c>
      <c r="D22" s="287" t="s">
        <v>390</v>
      </c>
      <c r="Z22" t="s">
        <v>392</v>
      </c>
      <c r="AA22">
        <f>IF(C22=1,0.2,0.1)</f>
        <v>0.1</v>
      </c>
    </row>
    <row r="23" spans="1:31" ht="15.8" customHeight="1">
      <c r="A23" s="1170" t="s">
        <v>382</v>
      </c>
      <c r="B23" s="11" t="s">
        <v>1110</v>
      </c>
      <c r="C23" s="1168">
        <v>7000</v>
      </c>
      <c r="D23" s="287"/>
    </row>
    <row r="24" spans="1:31" ht="18" customHeight="1">
      <c r="A24" s="1171" t="s">
        <v>380</v>
      </c>
      <c r="B24" s="11" t="s">
        <v>1110</v>
      </c>
      <c r="C24" s="1168">
        <v>24</v>
      </c>
      <c r="D24" s="287"/>
      <c r="AA24" s="633">
        <v>1</v>
      </c>
      <c r="AB24" t="s">
        <v>567</v>
      </c>
      <c r="AE24">
        <f>MIN(AD3:AD4)</f>
        <v>0.46654705787887879</v>
      </c>
    </row>
    <row r="25" spans="1:31" ht="27.7" customHeight="1">
      <c r="A25" s="1178" t="s">
        <v>1244</v>
      </c>
      <c r="B25" s="11"/>
      <c r="C25" s="1177">
        <f>AA25</f>
        <v>0.46654705787887879</v>
      </c>
      <c r="D25" s="287"/>
      <c r="AA25">
        <f>INDEX(AE24:AE25,AA24,1)</f>
        <v>0.46654705787887879</v>
      </c>
    </row>
    <row r="26" spans="1:31" ht="15.8" customHeight="1"/>
    <row r="27" spans="1:31" ht="19.55" customHeight="1">
      <c r="A27" t="s">
        <v>1259</v>
      </c>
      <c r="B27" s="67" t="s">
        <v>513</v>
      </c>
      <c r="C27" s="1199">
        <v>25</v>
      </c>
      <c r="E27" s="96"/>
      <c r="F27" s="96"/>
      <c r="G27" s="96"/>
      <c r="H27" s="96"/>
      <c r="I27" s="96"/>
      <c r="J27" s="96"/>
      <c r="K27" s="287"/>
      <c r="L27" s="339"/>
      <c r="M27" s="287"/>
      <c r="N27" s="287"/>
      <c r="O27" s="287"/>
      <c r="P27" s="287"/>
      <c r="Q27" s="98"/>
    </row>
    <row r="28" spans="1:31" ht="19.55" customHeight="1">
      <c r="A28" t="s">
        <v>1260</v>
      </c>
      <c r="B28" s="67" t="s">
        <v>513</v>
      </c>
      <c r="C28" s="1198">
        <f>(IF(B15&lt;30,AH3,IF(B15&gt;60,AH5,AH4)))/1000</f>
        <v>0.89308604486975107</v>
      </c>
      <c r="E28" s="99"/>
      <c r="F28" s="99"/>
      <c r="G28" s="99"/>
      <c r="H28" s="99"/>
      <c r="I28" s="99"/>
      <c r="J28" s="99"/>
      <c r="K28" s="287"/>
      <c r="L28" s="99"/>
      <c r="M28" s="340"/>
      <c r="N28" s="340"/>
      <c r="O28" s="340"/>
      <c r="P28" s="340"/>
      <c r="Q28" s="98"/>
    </row>
    <row r="29" spans="1:31" ht="21.1" customHeight="1">
      <c r="A29" t="s">
        <v>1265</v>
      </c>
      <c r="B29" s="67" t="s">
        <v>513</v>
      </c>
      <c r="C29" s="1198">
        <f>AH8/1000</f>
        <v>1.159852006324352</v>
      </c>
      <c r="E29" s="99"/>
      <c r="F29" s="99"/>
      <c r="G29" s="99"/>
      <c r="H29" s="99"/>
      <c r="I29" s="99"/>
      <c r="J29" s="99"/>
      <c r="K29" s="287"/>
      <c r="L29" s="99"/>
      <c r="M29" s="340"/>
      <c r="N29" s="340"/>
      <c r="O29" s="340"/>
      <c r="P29" s="340"/>
      <c r="Q29" s="98"/>
    </row>
    <row r="30" spans="1:31" ht="15.8" customHeight="1">
      <c r="C30" s="135"/>
      <c r="E30" s="99"/>
      <c r="F30" s="99"/>
      <c r="G30" s="99"/>
      <c r="H30" s="99"/>
      <c r="I30" s="99"/>
      <c r="J30" s="99"/>
      <c r="K30" s="287"/>
      <c r="L30" s="99"/>
      <c r="M30" s="340"/>
      <c r="N30" s="340"/>
      <c r="O30" s="340"/>
      <c r="P30" s="340"/>
      <c r="Q30" s="98"/>
    </row>
    <row r="31" spans="1:31" ht="15.8" customHeight="1">
      <c r="E31" s="99"/>
      <c r="F31" s="99"/>
      <c r="G31" s="99"/>
      <c r="H31" s="99"/>
      <c r="I31" s="99"/>
      <c r="J31" s="99"/>
      <c r="K31" s="287"/>
      <c r="L31" s="99"/>
      <c r="M31" s="340"/>
      <c r="N31" s="340"/>
      <c r="O31" s="340"/>
      <c r="P31" s="340"/>
      <c r="Q31" s="98"/>
    </row>
    <row r="32" spans="1:31" ht="15.8" customHeight="1">
      <c r="E32" s="99"/>
      <c r="F32" s="99"/>
      <c r="G32" s="99"/>
      <c r="H32" s="99"/>
      <c r="I32" s="99"/>
      <c r="J32" s="99"/>
      <c r="K32" s="287"/>
      <c r="L32" s="99"/>
      <c r="M32" s="340"/>
      <c r="N32" s="340"/>
      <c r="O32" s="340"/>
      <c r="P32" s="340"/>
      <c r="Q32" s="98"/>
    </row>
    <row r="33" spans="2:17" ht="15.8" customHeight="1">
      <c r="E33" s="99"/>
      <c r="F33" s="99"/>
      <c r="G33" s="99"/>
      <c r="H33" s="99"/>
      <c r="I33" s="99"/>
      <c r="J33" s="99"/>
      <c r="K33" s="287"/>
      <c r="L33" s="99"/>
      <c r="M33" s="340"/>
      <c r="N33" s="340"/>
      <c r="O33" s="340"/>
      <c r="P33" s="340"/>
      <c r="Q33" s="98"/>
    </row>
    <row r="34" spans="2:17" ht="15.8" customHeight="1">
      <c r="E34" s="99"/>
      <c r="F34" s="99"/>
      <c r="G34" s="99"/>
      <c r="H34" s="99"/>
      <c r="I34" s="99"/>
      <c r="J34" s="99"/>
      <c r="K34" s="287"/>
      <c r="L34" s="99"/>
      <c r="M34" s="340"/>
      <c r="N34" s="340"/>
      <c r="O34" s="340"/>
      <c r="P34" s="340"/>
      <c r="Q34" s="98"/>
    </row>
    <row r="35" spans="2:17" ht="15.8" customHeight="1">
      <c r="E35" s="99"/>
      <c r="F35" s="99"/>
      <c r="G35" s="99"/>
      <c r="H35" s="99"/>
      <c r="I35" s="99"/>
      <c r="J35" s="99"/>
      <c r="K35" s="287"/>
      <c r="L35" s="99"/>
      <c r="M35" s="340"/>
      <c r="N35" s="340"/>
      <c r="O35" s="340"/>
      <c r="P35" s="340"/>
      <c r="Q35" s="98"/>
    </row>
    <row r="36" spans="2:17" ht="15.8" customHeight="1">
      <c r="E36" s="99"/>
      <c r="F36" s="99"/>
      <c r="G36" s="99"/>
      <c r="H36" s="99"/>
      <c r="I36" s="99"/>
      <c r="J36" s="99"/>
      <c r="K36" s="287"/>
      <c r="L36" s="99"/>
      <c r="M36" s="340"/>
      <c r="N36" s="340"/>
      <c r="O36" s="340"/>
      <c r="P36" s="340"/>
      <c r="Q36" s="98"/>
    </row>
    <row r="37" spans="2:17" ht="15.8" customHeight="1">
      <c r="E37" s="99"/>
      <c r="F37" s="99"/>
      <c r="G37" s="99"/>
      <c r="H37" s="99"/>
      <c r="I37" s="99"/>
      <c r="J37" s="99"/>
      <c r="K37" s="287"/>
      <c r="L37" s="99"/>
      <c r="M37" s="340"/>
      <c r="N37" s="340"/>
      <c r="O37" s="340"/>
      <c r="P37" s="340"/>
      <c r="Q37" s="98"/>
    </row>
    <row r="38" spans="2:17" ht="15.8" customHeight="1">
      <c r="E38" s="99"/>
      <c r="F38" s="99"/>
      <c r="G38" s="99"/>
      <c r="H38" s="99"/>
      <c r="I38" s="99"/>
      <c r="J38" s="99"/>
      <c r="K38" s="287"/>
      <c r="L38" s="99"/>
      <c r="M38" s="340"/>
      <c r="N38" s="340"/>
      <c r="O38" s="340"/>
      <c r="P38" s="340"/>
      <c r="Q38" s="98"/>
    </row>
    <row r="39" spans="2:17" ht="15.8" customHeight="1">
      <c r="C39">
        <v>6000</v>
      </c>
      <c r="E39" s="99"/>
      <c r="F39" s="99"/>
      <c r="G39" s="99"/>
      <c r="H39" s="99"/>
      <c r="I39" s="99"/>
      <c r="J39" s="99"/>
      <c r="K39" s="287"/>
      <c r="L39" s="99"/>
      <c r="M39" s="340"/>
      <c r="N39" s="340"/>
      <c r="O39" s="340"/>
      <c r="P39" s="340"/>
      <c r="Q39" s="98"/>
    </row>
    <row r="40" spans="2:17" ht="15.8" customHeight="1">
      <c r="C40">
        <f>85*2*400</f>
        <v>68000</v>
      </c>
      <c r="E40" s="99"/>
      <c r="F40" s="99"/>
      <c r="G40" s="99"/>
      <c r="H40" s="99"/>
      <c r="I40" s="99"/>
      <c r="J40" s="99"/>
      <c r="K40" s="287"/>
      <c r="L40" s="99"/>
      <c r="M40" s="340"/>
      <c r="N40" s="340"/>
      <c r="O40" s="340"/>
      <c r="P40" s="340"/>
      <c r="Q40" s="98"/>
    </row>
    <row r="41" spans="2:17" ht="15.8" customHeight="1">
      <c r="C41">
        <v>768600000</v>
      </c>
      <c r="E41" s="99"/>
      <c r="F41" s="99"/>
      <c r="G41" s="99"/>
      <c r="H41" s="99"/>
      <c r="I41" s="99"/>
      <c r="J41" s="99"/>
      <c r="K41" s="287"/>
      <c r="L41" s="99"/>
      <c r="M41" s="340"/>
      <c r="N41" s="340"/>
      <c r="O41" s="340"/>
      <c r="P41" s="340"/>
      <c r="Q41" s="98"/>
    </row>
    <row r="42" spans="2:17" ht="15.8" customHeight="1">
      <c r="C42">
        <f>(C40/C41)^0.5</f>
        <v>9.4059846634438511E-3</v>
      </c>
      <c r="E42" s="99"/>
      <c r="F42" s="99"/>
      <c r="G42" s="99"/>
      <c r="H42" s="99"/>
      <c r="I42" s="99"/>
      <c r="J42" s="99"/>
      <c r="K42" s="287"/>
      <c r="L42" s="99"/>
      <c r="M42" s="340"/>
      <c r="N42" s="340"/>
      <c r="O42" s="340"/>
      <c r="P42" s="340"/>
      <c r="Q42" s="98"/>
    </row>
    <row r="43" spans="2:17" ht="15.8" customHeight="1">
      <c r="C43">
        <f>C39*C42</f>
        <v>56.43590798066311</v>
      </c>
      <c r="E43" s="99"/>
      <c r="F43" s="99"/>
      <c r="G43" s="99"/>
      <c r="H43" s="99"/>
      <c r="I43" s="99"/>
      <c r="J43" s="99"/>
      <c r="K43" s="287"/>
      <c r="L43" s="99"/>
      <c r="M43" s="340"/>
      <c r="N43" s="340"/>
      <c r="O43" s="340"/>
      <c r="P43" s="340"/>
      <c r="Q43" s="98"/>
    </row>
    <row r="44" spans="2:17" ht="15.8" customHeight="1">
      <c r="E44" s="99"/>
      <c r="F44" s="99"/>
      <c r="G44" s="99"/>
      <c r="H44" s="99"/>
      <c r="I44" s="99"/>
      <c r="J44" s="99"/>
      <c r="K44" s="287"/>
      <c r="L44" s="99"/>
      <c r="M44" s="340"/>
      <c r="N44" s="340"/>
      <c r="O44" s="340"/>
      <c r="P44" s="340"/>
      <c r="Q44" s="98"/>
    </row>
    <row r="45" spans="2:17" ht="15.8" customHeight="1">
      <c r="E45" s="99"/>
      <c r="F45" s="99"/>
      <c r="G45" s="99"/>
      <c r="H45" s="99"/>
      <c r="I45" s="99"/>
      <c r="J45" s="99"/>
      <c r="K45" s="287"/>
      <c r="L45" s="99"/>
      <c r="M45" s="340"/>
      <c r="N45" s="340"/>
      <c r="O45" s="340"/>
      <c r="P45" s="340"/>
      <c r="Q45" s="98"/>
    </row>
    <row r="46" spans="2:17" ht="15.8" customHeight="1">
      <c r="B46" s="1" t="s">
        <v>1221</v>
      </c>
      <c r="C46">
        <v>200</v>
      </c>
      <c r="K46" s="287"/>
      <c r="L46" s="99"/>
      <c r="M46" s="287"/>
      <c r="N46" s="287"/>
      <c r="O46" s="287"/>
      <c r="P46" s="287"/>
      <c r="Q46" s="98"/>
    </row>
    <row r="47" spans="2:17" ht="15.8" customHeight="1">
      <c r="C47">
        <f>C46/85*12^0.5</f>
        <v>8.1508273297358933</v>
      </c>
      <c r="K47" s="287"/>
      <c r="L47" s="99"/>
      <c r="M47" s="287"/>
      <c r="N47" s="287"/>
      <c r="O47" s="287"/>
      <c r="P47" s="287"/>
      <c r="Q47" s="98"/>
    </row>
    <row r="48" spans="2:17" ht="15.8" customHeight="1">
      <c r="K48" s="287"/>
      <c r="L48" s="99"/>
      <c r="M48" s="287"/>
      <c r="N48" s="287"/>
      <c r="O48" s="287"/>
      <c r="P48" s="287"/>
      <c r="Q48" s="98"/>
    </row>
    <row r="49" spans="3:17" ht="15.8" customHeight="1">
      <c r="C49">
        <v>3.6</v>
      </c>
      <c r="K49" s="287"/>
      <c r="L49" s="99"/>
      <c r="M49" s="287"/>
      <c r="N49" s="287"/>
      <c r="O49" s="287"/>
      <c r="P49" s="287"/>
      <c r="Q49" s="98"/>
    </row>
    <row r="50" spans="3:17" ht="15.8" customHeight="1">
      <c r="C50">
        <f>(C43^2+(C49*C47^2))^0.5</f>
        <v>58.516504165704262</v>
      </c>
      <c r="K50" s="287"/>
      <c r="L50" s="99"/>
      <c r="M50" s="287"/>
      <c r="N50" s="287"/>
      <c r="O50" s="287"/>
      <c r="P50" s="287"/>
      <c r="Q50" s="98"/>
    </row>
    <row r="51" spans="3:17" ht="15.8" customHeight="1">
      <c r="K51" s="287"/>
      <c r="L51" s="99"/>
      <c r="M51" s="287"/>
      <c r="N51" s="287"/>
      <c r="O51" s="287"/>
      <c r="P51" s="287"/>
      <c r="Q51" s="98"/>
    </row>
    <row r="52" spans="3:17" ht="15.8" customHeight="1">
      <c r="K52" s="287"/>
      <c r="L52" s="99"/>
      <c r="M52" s="287"/>
      <c r="N52" s="287"/>
      <c r="O52" s="287"/>
      <c r="P52" s="287"/>
      <c r="Q52" s="98"/>
    </row>
    <row r="53" spans="3:17" ht="15.8" customHeight="1">
      <c r="K53" s="287"/>
      <c r="L53" s="99"/>
      <c r="M53" s="287"/>
      <c r="N53" s="287"/>
      <c r="O53" s="287"/>
      <c r="P53" s="287"/>
      <c r="Q53" s="98"/>
    </row>
    <row r="54" spans="3:17" ht="15.8" customHeight="1">
      <c r="K54" s="287"/>
      <c r="L54" s="99"/>
      <c r="M54" s="287"/>
      <c r="N54" s="287"/>
      <c r="O54" s="287"/>
      <c r="P54" s="287"/>
      <c r="Q54" s="98"/>
    </row>
    <row r="55" spans="3:17" ht="15.8" customHeight="1">
      <c r="K55" s="287"/>
      <c r="L55" s="99"/>
      <c r="M55" s="287"/>
      <c r="N55" s="287"/>
      <c r="O55" s="287"/>
      <c r="P55" s="287"/>
      <c r="Q55" s="98"/>
    </row>
    <row r="56" spans="3:17" ht="15.8" customHeight="1">
      <c r="K56" s="287"/>
      <c r="L56" s="99"/>
      <c r="M56" s="287"/>
      <c r="N56" s="287"/>
      <c r="O56" s="287"/>
      <c r="P56" s="287"/>
      <c r="Q56" s="98"/>
    </row>
    <row r="57" spans="3:17" ht="15.8" customHeight="1">
      <c r="K57" s="287"/>
      <c r="L57" s="99"/>
      <c r="M57" s="287"/>
      <c r="N57" s="287"/>
      <c r="O57" s="287"/>
      <c r="P57" s="287"/>
      <c r="Q57" s="98"/>
    </row>
    <row r="58" spans="3:17">
      <c r="K58" s="287"/>
      <c r="L58" s="99"/>
      <c r="M58" s="287"/>
      <c r="N58" s="287"/>
      <c r="O58" s="287"/>
      <c r="P58" s="287"/>
      <c r="Q58" s="98"/>
    </row>
    <row r="59" spans="3:17">
      <c r="K59" s="287"/>
      <c r="L59" s="99"/>
      <c r="M59" s="287"/>
      <c r="N59" s="287"/>
      <c r="O59" s="287"/>
      <c r="P59" s="287"/>
      <c r="Q59" s="98"/>
    </row>
    <row r="60" spans="3:17">
      <c r="K60" s="287"/>
      <c r="L60" s="99"/>
      <c r="M60" s="287"/>
      <c r="N60" s="287"/>
      <c r="O60" s="287"/>
      <c r="P60" s="287"/>
      <c r="Q60" s="98"/>
    </row>
    <row r="61" spans="3:17">
      <c r="K61" s="287"/>
      <c r="L61" s="99"/>
      <c r="M61" s="287"/>
      <c r="N61" s="287"/>
      <c r="O61" s="287"/>
      <c r="P61" s="287"/>
      <c r="Q61" s="98"/>
    </row>
    <row r="62" spans="3:17">
      <c r="K62" s="287"/>
      <c r="L62" s="99"/>
      <c r="M62" s="287"/>
      <c r="N62" s="287"/>
      <c r="O62" s="287"/>
      <c r="P62" s="287"/>
      <c r="Q62" s="98"/>
    </row>
    <row r="63" spans="3:17">
      <c r="K63" s="287"/>
      <c r="L63" s="99"/>
      <c r="M63" s="287"/>
      <c r="N63" s="287"/>
      <c r="O63" s="287"/>
      <c r="P63" s="287"/>
      <c r="Q63" s="98"/>
    </row>
    <row r="64" spans="3:17">
      <c r="K64" s="287"/>
      <c r="L64" s="99"/>
      <c r="M64" s="287"/>
      <c r="N64" s="287"/>
      <c r="O64" s="287"/>
      <c r="P64" s="287"/>
      <c r="Q64" s="98"/>
    </row>
    <row r="65" spans="11:17">
      <c r="K65" s="287"/>
      <c r="L65" s="99"/>
      <c r="M65" s="287"/>
      <c r="N65" s="287"/>
      <c r="O65" s="287"/>
      <c r="P65" s="287"/>
      <c r="Q65" s="98"/>
    </row>
    <row r="66" spans="11:17">
      <c r="K66" s="287"/>
      <c r="L66" s="99"/>
      <c r="M66" s="287"/>
      <c r="N66" s="287"/>
      <c r="O66" s="287"/>
      <c r="P66" s="287"/>
      <c r="Q66" s="98"/>
    </row>
    <row r="67" spans="11:17">
      <c r="K67" s="287"/>
      <c r="L67" s="99"/>
      <c r="M67" s="287"/>
      <c r="N67" s="287"/>
      <c r="O67" s="287"/>
      <c r="P67" s="287"/>
      <c r="Q67" s="98"/>
    </row>
    <row r="68" spans="11:17">
      <c r="K68" s="287"/>
      <c r="L68" s="99"/>
      <c r="M68" s="287"/>
      <c r="N68" s="287"/>
      <c r="O68" s="287"/>
      <c r="P68" s="287"/>
      <c r="Q68" s="98"/>
    </row>
    <row r="69" spans="11:17">
      <c r="K69" s="287"/>
      <c r="L69" s="99"/>
      <c r="M69" s="287"/>
      <c r="N69" s="287"/>
      <c r="O69" s="287"/>
      <c r="P69" s="287"/>
      <c r="Q69" s="98"/>
    </row>
    <row r="70" spans="11:17">
      <c r="K70" s="287"/>
      <c r="L70" s="99"/>
      <c r="M70" s="287"/>
      <c r="N70" s="287"/>
      <c r="O70" s="287"/>
      <c r="P70" s="287"/>
      <c r="Q70" s="98"/>
    </row>
    <row r="71" spans="11:17">
      <c r="K71" s="287"/>
      <c r="L71" s="99"/>
      <c r="M71" s="287"/>
      <c r="N71" s="287"/>
      <c r="O71" s="287"/>
      <c r="P71" s="287"/>
      <c r="Q71" s="98"/>
    </row>
    <row r="72" spans="11:17">
      <c r="K72" s="287"/>
      <c r="L72" s="99"/>
      <c r="M72" s="287"/>
      <c r="N72" s="287"/>
      <c r="O72" s="287"/>
      <c r="P72" s="287"/>
      <c r="Q72" s="98"/>
    </row>
    <row r="73" spans="11:17">
      <c r="K73" s="287"/>
      <c r="L73" s="99"/>
      <c r="M73" s="287"/>
      <c r="N73" s="287"/>
      <c r="O73" s="287"/>
      <c r="P73" s="287"/>
      <c r="Q73" s="98"/>
    </row>
    <row r="74" spans="11:17">
      <c r="K74" s="287"/>
      <c r="L74" s="99"/>
      <c r="M74" s="287"/>
      <c r="N74" s="287"/>
      <c r="O74" s="287"/>
      <c r="P74" s="287"/>
      <c r="Q74" s="98"/>
    </row>
    <row r="75" spans="11:17">
      <c r="K75" s="287"/>
      <c r="L75" s="99"/>
      <c r="M75" s="287"/>
      <c r="N75" s="287"/>
      <c r="O75" s="287"/>
      <c r="P75" s="287"/>
      <c r="Q75" s="98"/>
    </row>
    <row r="76" spans="11:17">
      <c r="K76" s="287"/>
      <c r="L76" s="99"/>
      <c r="M76" s="287"/>
      <c r="N76" s="287"/>
      <c r="O76" s="287"/>
      <c r="P76" s="287"/>
      <c r="Q76" s="98"/>
    </row>
    <row r="77" spans="11:17">
      <c r="K77" s="287"/>
      <c r="L77" s="99"/>
      <c r="M77" s="287"/>
      <c r="N77" s="287"/>
      <c r="O77" s="287"/>
      <c r="P77" s="287"/>
      <c r="Q77" s="98"/>
    </row>
    <row r="78" spans="11:17">
      <c r="K78" s="287"/>
      <c r="L78" s="99"/>
      <c r="M78" s="287"/>
      <c r="N78" s="287"/>
      <c r="O78" s="287"/>
      <c r="P78" s="287"/>
      <c r="Q78" s="98"/>
    </row>
    <row r="79" spans="11:17">
      <c r="K79" s="287"/>
      <c r="L79" s="99"/>
      <c r="M79" s="287"/>
      <c r="N79" s="287"/>
      <c r="O79" s="287"/>
      <c r="P79" s="287"/>
      <c r="Q79" s="98"/>
    </row>
    <row r="80" spans="11:17">
      <c r="K80" s="287"/>
      <c r="L80" s="99"/>
      <c r="M80" s="287"/>
      <c r="N80" s="287"/>
      <c r="O80" s="287"/>
      <c r="P80" s="287"/>
      <c r="Q80" s="98"/>
    </row>
    <row r="81" spans="11:17">
      <c r="K81" s="287"/>
      <c r="L81" s="99"/>
      <c r="M81" s="287"/>
      <c r="N81" s="287"/>
      <c r="O81" s="287"/>
      <c r="P81" s="287"/>
      <c r="Q81" s="98"/>
    </row>
    <row r="82" spans="11:17">
      <c r="K82" s="287"/>
      <c r="L82" s="99"/>
      <c r="M82" s="287"/>
      <c r="N82" s="287"/>
      <c r="O82" s="287"/>
      <c r="P82" s="287"/>
      <c r="Q82" s="98"/>
    </row>
    <row r="83" spans="11:17">
      <c r="K83" s="287"/>
      <c r="L83" s="99"/>
      <c r="M83" s="287"/>
      <c r="N83" s="287"/>
      <c r="O83" s="287"/>
      <c r="P83" s="287"/>
      <c r="Q83" s="98"/>
    </row>
    <row r="84" spans="11:17">
      <c r="K84" s="287"/>
      <c r="L84" s="99"/>
      <c r="M84" s="287"/>
      <c r="N84" s="287"/>
      <c r="O84" s="287"/>
      <c r="P84" s="287"/>
      <c r="Q84" s="103"/>
    </row>
    <row r="85" spans="11:17">
      <c r="K85" s="287"/>
      <c r="L85" s="99"/>
      <c r="M85" s="287"/>
      <c r="N85" s="287"/>
      <c r="O85" s="287"/>
      <c r="P85" s="287"/>
      <c r="Q85" s="103"/>
    </row>
    <row r="86" spans="11:17">
      <c r="K86" s="287"/>
      <c r="L86" s="99"/>
      <c r="M86" s="287"/>
      <c r="N86" s="287"/>
      <c r="O86" s="287"/>
      <c r="P86" s="287"/>
      <c r="Q86" s="103"/>
    </row>
    <row r="87" spans="11:17">
      <c r="K87" s="287"/>
      <c r="L87" s="99"/>
      <c r="M87" s="287"/>
      <c r="N87" s="287"/>
      <c r="O87" s="287"/>
      <c r="P87" s="287"/>
      <c r="Q87" s="103"/>
    </row>
    <row r="88" spans="11:17">
      <c r="K88" s="287"/>
      <c r="L88" s="99"/>
      <c r="M88" s="287"/>
      <c r="N88" s="287"/>
      <c r="O88" s="287"/>
      <c r="P88" s="287"/>
      <c r="Q88" s="103"/>
    </row>
    <row r="89" spans="11:17">
      <c r="K89" s="287"/>
      <c r="L89" s="99"/>
      <c r="M89" s="287"/>
      <c r="N89" s="287"/>
      <c r="O89" s="287"/>
      <c r="P89" s="287"/>
      <c r="Q89" s="103"/>
    </row>
    <row r="90" spans="11:17">
      <c r="K90" s="287"/>
      <c r="L90" s="99"/>
      <c r="M90" s="287"/>
      <c r="N90" s="287"/>
      <c r="O90" s="287"/>
      <c r="P90" s="287"/>
      <c r="Q90" s="103"/>
    </row>
    <row r="91" spans="11:17">
      <c r="K91" s="287"/>
      <c r="L91" s="99"/>
      <c r="M91" s="287"/>
      <c r="N91" s="287"/>
      <c r="O91" s="287"/>
      <c r="P91" s="287"/>
      <c r="Q91" s="103"/>
    </row>
    <row r="92" spans="11:17">
      <c r="K92" s="287"/>
      <c r="L92" s="99"/>
      <c r="M92" s="287"/>
      <c r="N92" s="287"/>
      <c r="O92" s="287"/>
      <c r="P92" s="287"/>
      <c r="Q92" s="103"/>
    </row>
    <row r="93" spans="11:17">
      <c r="K93" s="287"/>
      <c r="L93" s="99"/>
      <c r="M93" s="287"/>
      <c r="N93" s="287"/>
      <c r="O93" s="287"/>
      <c r="P93" s="287"/>
      <c r="Q93" s="103"/>
    </row>
    <row r="94" spans="11:17">
      <c r="K94" s="287"/>
      <c r="L94" s="99"/>
      <c r="M94" s="287"/>
      <c r="N94" s="287"/>
      <c r="O94" s="287"/>
      <c r="P94" s="287"/>
      <c r="Q94" s="103"/>
    </row>
    <row r="95" spans="11:17">
      <c r="K95" s="287"/>
      <c r="L95" s="99"/>
      <c r="M95" s="287"/>
      <c r="N95" s="287"/>
      <c r="O95" s="287"/>
      <c r="P95" s="287"/>
      <c r="Q95" s="103"/>
    </row>
    <row r="96" spans="11:17">
      <c r="K96" s="287"/>
      <c r="L96" s="99"/>
      <c r="M96" s="287"/>
      <c r="N96" s="287"/>
      <c r="O96" s="287"/>
      <c r="P96" s="287"/>
      <c r="Q96" s="103"/>
    </row>
    <row r="97" spans="11:17">
      <c r="K97" s="287"/>
      <c r="L97" s="99"/>
      <c r="M97" s="287"/>
      <c r="N97" s="287"/>
      <c r="O97" s="287"/>
      <c r="P97" s="287"/>
      <c r="Q97" s="103"/>
    </row>
    <row r="98" spans="11:17">
      <c r="K98" s="287"/>
      <c r="L98" s="99"/>
      <c r="M98" s="287"/>
      <c r="N98" s="287"/>
      <c r="O98" s="287"/>
      <c r="P98" s="287"/>
      <c r="Q98" s="103"/>
    </row>
    <row r="99" spans="11:17">
      <c r="K99" s="287"/>
      <c r="L99" s="99"/>
      <c r="M99" s="287"/>
      <c r="N99" s="287"/>
      <c r="O99" s="287"/>
      <c r="P99" s="287"/>
      <c r="Q99" s="103"/>
    </row>
    <row r="100" spans="11:17">
      <c r="K100" s="287"/>
      <c r="L100" s="99"/>
      <c r="M100" s="287"/>
      <c r="N100" s="287"/>
      <c r="O100" s="287"/>
      <c r="P100" s="287"/>
      <c r="Q100" s="103"/>
    </row>
    <row r="101" spans="11:17">
      <c r="K101" s="287"/>
      <c r="L101" s="99"/>
      <c r="M101" s="287"/>
      <c r="N101" s="287"/>
      <c r="O101" s="287"/>
      <c r="P101" s="287"/>
      <c r="Q101" s="103"/>
    </row>
    <row r="102" spans="11:17">
      <c r="K102" s="287"/>
      <c r="L102" s="99"/>
      <c r="M102" s="287"/>
      <c r="N102" s="287"/>
      <c r="O102" s="287"/>
      <c r="P102" s="287"/>
      <c r="Q102" s="103"/>
    </row>
    <row r="103" spans="11:17">
      <c r="K103" s="287"/>
      <c r="L103" s="99"/>
      <c r="M103" s="287"/>
      <c r="N103" s="287"/>
      <c r="O103" s="287"/>
      <c r="P103" s="287"/>
      <c r="Q103" s="103"/>
    </row>
    <row r="104" spans="11:17">
      <c r="K104" s="287"/>
      <c r="L104" s="287"/>
      <c r="M104" s="287"/>
      <c r="N104" s="287"/>
      <c r="O104" s="287"/>
      <c r="P104" s="287"/>
      <c r="Q104" s="287"/>
    </row>
    <row r="105" spans="11:17">
      <c r="K105" s="287"/>
      <c r="L105" s="287"/>
      <c r="M105" s="287"/>
      <c r="N105" s="287"/>
      <c r="O105" s="287"/>
      <c r="P105" s="287"/>
      <c r="Q105" s="287"/>
    </row>
    <row r="106" spans="11:17">
      <c r="K106" s="287"/>
      <c r="L106" s="287"/>
      <c r="M106" s="287"/>
      <c r="N106" s="287"/>
      <c r="O106" s="287"/>
      <c r="P106" s="287"/>
      <c r="Q106" s="287"/>
    </row>
    <row r="107" spans="11:17">
      <c r="K107" s="287"/>
      <c r="L107" s="287"/>
      <c r="M107" s="287"/>
      <c r="N107" s="287"/>
      <c r="O107" s="287"/>
      <c r="P107" s="287"/>
      <c r="Q107" s="287"/>
    </row>
    <row r="108" spans="11:17">
      <c r="K108" s="287"/>
      <c r="L108" s="287"/>
      <c r="M108" s="287"/>
      <c r="N108" s="287"/>
      <c r="O108" s="287"/>
      <c r="P108" s="287"/>
      <c r="Q108" s="287"/>
    </row>
    <row r="109" spans="11:17">
      <c r="K109" s="287"/>
      <c r="L109" s="287"/>
      <c r="M109" s="287"/>
      <c r="N109" s="287"/>
      <c r="O109" s="287"/>
      <c r="P109" s="287"/>
      <c r="Q109" s="287"/>
    </row>
    <row r="110" spans="11:17">
      <c r="K110" s="287"/>
      <c r="L110" s="287"/>
      <c r="M110" s="287"/>
      <c r="N110" s="287"/>
      <c r="O110" s="287"/>
      <c r="P110" s="287"/>
      <c r="Q110" s="287"/>
    </row>
    <row r="111" spans="11:17">
      <c r="K111" s="287"/>
      <c r="L111" s="287"/>
      <c r="M111" s="287"/>
      <c r="N111" s="287"/>
      <c r="O111" s="287"/>
      <c r="P111" s="287"/>
      <c r="Q111" s="287"/>
    </row>
    <row r="112" spans="11:17">
      <c r="K112" s="287"/>
      <c r="L112" s="287"/>
      <c r="M112" s="287"/>
      <c r="N112" s="287"/>
      <c r="O112" s="287"/>
      <c r="P112" s="287"/>
      <c r="Q112" s="287"/>
    </row>
    <row r="113" spans="11:17">
      <c r="K113" s="287"/>
      <c r="L113" s="287"/>
      <c r="M113" s="287"/>
      <c r="N113" s="287"/>
      <c r="O113" s="287"/>
      <c r="P113" s="287"/>
      <c r="Q113" s="287"/>
    </row>
    <row r="114" spans="11:17">
      <c r="K114" s="287"/>
      <c r="L114" s="287"/>
      <c r="M114" s="287"/>
      <c r="N114" s="287"/>
      <c r="O114" s="287"/>
      <c r="P114" s="287"/>
      <c r="Q114" s="287"/>
    </row>
    <row r="115" spans="11:17">
      <c r="K115" s="287"/>
      <c r="L115" s="287"/>
      <c r="M115" s="287"/>
      <c r="N115" s="287"/>
      <c r="O115" s="287"/>
      <c r="P115" s="287"/>
      <c r="Q115" s="287"/>
    </row>
    <row r="116" spans="11:17">
      <c r="K116" s="287"/>
      <c r="L116" s="287"/>
      <c r="M116" s="287"/>
      <c r="N116" s="287"/>
      <c r="O116" s="287"/>
      <c r="P116" s="287"/>
      <c r="Q116" s="287"/>
    </row>
    <row r="117" spans="11:17">
      <c r="K117" s="287"/>
      <c r="L117" s="287"/>
      <c r="M117" s="287"/>
      <c r="N117" s="287"/>
      <c r="O117" s="287"/>
      <c r="P117" s="287"/>
      <c r="Q117" s="287"/>
    </row>
    <row r="118" spans="11:17">
      <c r="K118" s="287"/>
      <c r="L118" s="287"/>
      <c r="M118" s="287"/>
      <c r="N118" s="287"/>
      <c r="O118" s="287"/>
      <c r="P118" s="287"/>
      <c r="Q118" s="287"/>
    </row>
    <row r="119" spans="11:17">
      <c r="K119" s="287"/>
      <c r="L119" s="287"/>
      <c r="M119" s="287"/>
      <c r="N119" s="287"/>
      <c r="O119" s="287"/>
      <c r="P119" s="287"/>
      <c r="Q119" s="287"/>
    </row>
    <row r="120" spans="11:17">
      <c r="K120" s="287"/>
      <c r="L120" s="287"/>
      <c r="M120" s="287"/>
      <c r="N120" s="287"/>
      <c r="O120" s="287"/>
      <c r="P120" s="287"/>
      <c r="Q120" s="287"/>
    </row>
    <row r="121" spans="11:17">
      <c r="K121" s="287"/>
      <c r="L121" s="287"/>
      <c r="M121" s="287"/>
      <c r="N121" s="287"/>
      <c r="O121" s="287"/>
      <c r="P121" s="287"/>
      <c r="Q121" s="287"/>
    </row>
    <row r="122" spans="11:17">
      <c r="K122" s="287"/>
      <c r="L122" s="287"/>
      <c r="M122" s="287"/>
      <c r="N122" s="287"/>
      <c r="O122" s="287"/>
      <c r="P122" s="287"/>
      <c r="Q122" s="287"/>
    </row>
    <row r="123" spans="11:17">
      <c r="K123" s="287"/>
      <c r="L123" s="287"/>
      <c r="M123" s="287"/>
      <c r="N123" s="287"/>
      <c r="O123" s="287"/>
      <c r="P123" s="287"/>
      <c r="Q123" s="287"/>
    </row>
    <row r="124" spans="11:17">
      <c r="K124" s="287"/>
      <c r="L124" s="287"/>
      <c r="M124" s="287"/>
      <c r="N124" s="287"/>
      <c r="O124" s="287"/>
      <c r="P124" s="287"/>
      <c r="Q124" s="287"/>
    </row>
    <row r="125" spans="11:17">
      <c r="K125" s="287"/>
      <c r="L125" s="287"/>
      <c r="M125" s="287"/>
      <c r="N125" s="287"/>
      <c r="O125" s="287"/>
      <c r="P125" s="287"/>
      <c r="Q125" s="287"/>
    </row>
    <row r="126" spans="11:17">
      <c r="K126" s="287"/>
      <c r="L126" s="287"/>
      <c r="M126" s="287"/>
      <c r="N126" s="287"/>
      <c r="O126" s="287"/>
      <c r="P126" s="287"/>
      <c r="Q126" s="287"/>
    </row>
    <row r="127" spans="11:17">
      <c r="K127" s="287"/>
      <c r="L127" s="287"/>
      <c r="M127" s="287"/>
      <c r="N127" s="287"/>
      <c r="O127" s="287"/>
      <c r="P127" s="287"/>
      <c r="Q127" s="287"/>
    </row>
    <row r="128" spans="11:17">
      <c r="K128" s="287"/>
      <c r="L128" s="287"/>
      <c r="M128" s="287"/>
      <c r="N128" s="287"/>
      <c r="O128" s="287"/>
      <c r="P128" s="287"/>
      <c r="Q128" s="287"/>
    </row>
    <row r="129" spans="11:17">
      <c r="K129" s="287"/>
      <c r="L129" s="287"/>
      <c r="M129" s="287"/>
      <c r="N129" s="287"/>
      <c r="O129" s="287"/>
      <c r="P129" s="287"/>
      <c r="Q129" s="287"/>
    </row>
    <row r="130" spans="11:17">
      <c r="K130" s="287"/>
      <c r="L130" s="287"/>
      <c r="M130" s="287"/>
      <c r="N130" s="287"/>
      <c r="O130" s="287"/>
      <c r="P130" s="287"/>
      <c r="Q130" s="287"/>
    </row>
    <row r="131" spans="11:17">
      <c r="K131" s="287"/>
      <c r="L131" s="287"/>
      <c r="M131" s="287"/>
      <c r="N131" s="287"/>
      <c r="O131" s="287"/>
      <c r="P131" s="287"/>
      <c r="Q131" s="287"/>
    </row>
    <row r="132" spans="11:17">
      <c r="K132" s="287"/>
      <c r="L132" s="287"/>
      <c r="M132" s="287"/>
      <c r="N132" s="287"/>
      <c r="O132" s="287"/>
      <c r="P132" s="287"/>
      <c r="Q132" s="287"/>
    </row>
  </sheetData>
  <mergeCells count="2">
    <mergeCell ref="A1:D1"/>
    <mergeCell ref="F18:H18"/>
  </mergeCells>
  <phoneticPr fontId="2" type="noConversion"/>
  <hyperlinks>
    <hyperlink ref="F18" location="MENU!A1" display="RETOUR MENU"/>
    <hyperlink ref="F18:H18" location="'M2'!A1" display="RETOUR MENU"/>
  </hyperlinks>
  <pageMargins left="0.78740157499999996" right="0.78740157499999996" top="0.984251969" bottom="0.984251969" header="0.4921259845" footer="0.4921259845"/>
  <pageSetup paperSize="9"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4762" r:id="rId4" name="Drop Down 10">
              <controlPr defaultSize="0" autoLine="0" autoPict="0">
                <anchor moveWithCells="1">
                  <from>
                    <xdr:col>1</xdr:col>
                    <xdr:colOff>0</xdr:colOff>
                    <xdr:row>7</xdr:row>
                    <xdr:rowOff>8626</xdr:rowOff>
                  </from>
                  <to>
                    <xdr:col>2</xdr:col>
                    <xdr:colOff>879894</xdr:colOff>
                    <xdr:row>8</xdr:row>
                    <xdr:rowOff>8626</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5"/>
  <dimension ref="A1:Z21"/>
  <sheetViews>
    <sheetView workbookViewId="0">
      <selection activeCell="I5" sqref="I5:K5"/>
    </sheetView>
  </sheetViews>
  <sheetFormatPr baseColWidth="10" defaultRowHeight="12.9"/>
  <cols>
    <col min="1" max="1" width="18" customWidth="1"/>
    <col min="2" max="2" width="7.875" customWidth="1"/>
    <col min="9" max="9" width="12.25" bestFit="1" customWidth="1"/>
    <col min="10" max="10" width="3.375" customWidth="1"/>
  </cols>
  <sheetData>
    <row r="1" spans="1:26" ht="21.1">
      <c r="A1" s="365" t="s">
        <v>454</v>
      </c>
      <c r="B1" s="285"/>
      <c r="C1" s="284"/>
      <c r="D1" s="284"/>
      <c r="E1" s="284"/>
      <c r="F1" s="285"/>
    </row>
    <row r="2" spans="1:26" ht="14.3">
      <c r="A2" s="3" t="s">
        <v>459</v>
      </c>
      <c r="B2" s="437" t="s">
        <v>513</v>
      </c>
      <c r="C2" s="463">
        <v>133</v>
      </c>
      <c r="I2" s="76" t="s">
        <v>1084</v>
      </c>
      <c r="J2" s="176"/>
    </row>
    <row r="3" spans="1:26" ht="14.3">
      <c r="A3" s="3" t="s">
        <v>460</v>
      </c>
      <c r="B3" s="31" t="s">
        <v>969</v>
      </c>
      <c r="C3" s="460">
        <v>1150</v>
      </c>
      <c r="I3" s="76" t="s">
        <v>1085</v>
      </c>
      <c r="J3" s="9"/>
    </row>
    <row r="4" spans="1:26" ht="14.95" thickBot="1">
      <c r="A4" s="3" t="s">
        <v>1281</v>
      </c>
      <c r="B4" s="31" t="s">
        <v>969</v>
      </c>
      <c r="C4" s="460">
        <v>160</v>
      </c>
      <c r="Z4" s="77">
        <f>(2.38-($C3/250))*(1+($C2/(12*$C3)))</f>
        <v>-2.2413956521739129</v>
      </c>
    </row>
    <row r="5" spans="1:26" ht="21.75" thickBot="1">
      <c r="A5" s="369" t="s">
        <v>458</v>
      </c>
      <c r="B5" s="262" t="s">
        <v>1110</v>
      </c>
      <c r="C5" s="77">
        <f>1.5*C2*1000/C3/C4</f>
        <v>1.0842391304347827</v>
      </c>
      <c r="I5" s="1417" t="s">
        <v>1142</v>
      </c>
      <c r="J5" s="1418"/>
      <c r="K5" s="1419"/>
      <c r="Z5" s="77">
        <f>(2.38-($C3/250))*(1+($C2/(6*$C3)))</f>
        <v>-2.262791304347826</v>
      </c>
    </row>
    <row r="6" spans="1:26">
      <c r="C6" s="1"/>
    </row>
    <row r="7" spans="1:26">
      <c r="C7" s="1"/>
    </row>
    <row r="8" spans="1:26">
      <c r="C8" s="1"/>
    </row>
    <row r="9" spans="1:26" ht="18.350000000000001">
      <c r="A9" s="367" t="s">
        <v>457</v>
      </c>
      <c r="B9" s="31" t="s">
        <v>436</v>
      </c>
      <c r="C9" s="461">
        <v>2.7</v>
      </c>
      <c r="I9" s="375">
        <f>I12</f>
        <v>1.0842391304347827</v>
      </c>
      <c r="J9" s="376" t="str">
        <f>IF(I9&lt;K9,"&lt;","&gt;")</f>
        <v>&lt;</v>
      </c>
      <c r="K9" s="377">
        <f>I13</f>
        <v>1.9440000000000002</v>
      </c>
      <c r="L9" t="s">
        <v>444</v>
      </c>
    </row>
    <row r="10" spans="1:26" ht="18.350000000000001">
      <c r="A10" s="367" t="s">
        <v>434</v>
      </c>
      <c r="B10" s="31"/>
      <c r="C10" s="491">
        <v>0.9</v>
      </c>
    </row>
    <row r="11" spans="1:26" ht="19.05" thickBot="1">
      <c r="A11" s="368" t="s">
        <v>435</v>
      </c>
      <c r="B11" s="31"/>
      <c r="C11" s="460">
        <v>1.25</v>
      </c>
    </row>
    <row r="12" spans="1:26" ht="21.1">
      <c r="A12" s="372" t="s">
        <v>456</v>
      </c>
      <c r="B12" s="262" t="s">
        <v>1110</v>
      </c>
      <c r="C12" s="371">
        <f>C9*C10/C11</f>
        <v>1.9440000000000002</v>
      </c>
      <c r="I12" s="373">
        <f>C5</f>
        <v>1.0842391304347827</v>
      </c>
      <c r="K12" s="1423">
        <f>C5/C12/C13</f>
        <v>0.55773617820719268</v>
      </c>
    </row>
    <row r="13" spans="1:26" ht="16.3" thickBot="1">
      <c r="A13" s="400" t="s">
        <v>455</v>
      </c>
      <c r="B13" s="31"/>
      <c r="C13" s="462">
        <v>1</v>
      </c>
      <c r="I13" s="160">
        <f>C12*C13</f>
        <v>1.9440000000000002</v>
      </c>
      <c r="K13" s="1424"/>
    </row>
    <row r="14" spans="1:26">
      <c r="I14" s="374" t="s">
        <v>444</v>
      </c>
    </row>
    <row r="15" spans="1:26">
      <c r="B15" s="1"/>
    </row>
    <row r="16" spans="1:26">
      <c r="B16" s="1"/>
    </row>
    <row r="17" spans="1:2">
      <c r="A17" t="s">
        <v>437</v>
      </c>
    </row>
    <row r="18" spans="1:2">
      <c r="B18" s="1"/>
    </row>
    <row r="19" spans="1:2">
      <c r="B19" s="1"/>
    </row>
    <row r="20" spans="1:2">
      <c r="B20" s="1"/>
    </row>
    <row r="21" spans="1:2">
      <c r="B21" s="1"/>
    </row>
  </sheetData>
  <mergeCells count="2">
    <mergeCell ref="I5:K5"/>
    <mergeCell ref="K12:K13"/>
  </mergeCells>
  <phoneticPr fontId="2" type="noConversion"/>
  <hyperlinks>
    <hyperlink ref="I5" location="MENU!A1" display="RETOUR MENU"/>
    <hyperlink ref="I5:K5" location="'M2'!A1" display="RETOUR MENU"/>
    <hyperlink ref="A13" location="'7'!A1" display="kv"/>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oleObjects>
    <mc:AlternateContent xmlns:mc="http://schemas.openxmlformats.org/markup-compatibility/2006">
      <mc:Choice Requires="x14">
        <oleObject progId="Equation.3" shapeId="29711" r:id="rId4">
          <objectPr defaultSize="0" autoPict="0" r:id="rId5">
            <anchor moveWithCells="1" sizeWithCells="1">
              <from>
                <xdr:col>4</xdr:col>
                <xdr:colOff>491706</xdr:colOff>
                <xdr:row>10</xdr:row>
                <xdr:rowOff>103517</xdr:rowOff>
              </from>
              <to>
                <xdr:col>6</xdr:col>
                <xdr:colOff>362309</xdr:colOff>
                <xdr:row>15</xdr:row>
                <xdr:rowOff>0</xdr:rowOff>
              </to>
            </anchor>
          </objectPr>
        </oleObject>
      </mc:Choice>
      <mc:Fallback>
        <oleObject progId="Equation.3" shapeId="29711" r:id="rId4"/>
      </mc:Fallback>
    </mc:AlternateContent>
    <mc:AlternateContent xmlns:mc="http://schemas.openxmlformats.org/markup-compatibility/2006">
      <mc:Choice Requires="x14">
        <oleObject progId="Equation.3" shapeId="29712" r:id="rId6">
          <objectPr defaultSize="0" autoPict="0" r:id="rId7">
            <anchor moveWithCells="1" sizeWithCells="1">
              <from>
                <xdr:col>4</xdr:col>
                <xdr:colOff>465826</xdr:colOff>
                <xdr:row>18</xdr:row>
                <xdr:rowOff>155275</xdr:rowOff>
              </from>
              <to>
                <xdr:col>6</xdr:col>
                <xdr:colOff>310551</xdr:colOff>
                <xdr:row>22</xdr:row>
                <xdr:rowOff>146649</xdr:rowOff>
              </to>
            </anchor>
          </objectPr>
        </oleObject>
      </mc:Choice>
      <mc:Fallback>
        <oleObject progId="Equation.3" shapeId="29712" r:id="rId6"/>
      </mc:Fallback>
    </mc:AlternateContent>
    <mc:AlternateContent xmlns:mc="http://schemas.openxmlformats.org/markup-compatibility/2006">
      <mc:Choice Requires="x14">
        <oleObject progId="Equation.3" shapeId="29713" r:id="rId8">
          <objectPr defaultSize="0" autoPict="0" r:id="rId9">
            <anchor moveWithCells="1" sizeWithCells="1">
              <from>
                <xdr:col>4</xdr:col>
                <xdr:colOff>508958</xdr:colOff>
                <xdr:row>1</xdr:row>
                <xdr:rowOff>129396</xdr:rowOff>
              </from>
              <to>
                <xdr:col>6</xdr:col>
                <xdr:colOff>172528</xdr:colOff>
                <xdr:row>5</xdr:row>
                <xdr:rowOff>8626</xdr:rowOff>
              </to>
            </anchor>
          </objectPr>
        </oleObject>
      </mc:Choice>
      <mc:Fallback>
        <oleObject progId="Equation.3" shapeId="29713" r:id="rId8"/>
      </mc:Fallback>
    </mc:AlternateContent>
    <mc:AlternateContent xmlns:mc="http://schemas.openxmlformats.org/markup-compatibility/2006">
      <mc:Choice Requires="x14">
        <oleObject progId="Equation.3" shapeId="29717" r:id="rId10">
          <objectPr defaultSize="0" autoPict="0" r:id="rId11">
            <anchor moveWithCells="1" sizeWithCells="1">
              <from>
                <xdr:col>4</xdr:col>
                <xdr:colOff>491706</xdr:colOff>
                <xdr:row>7</xdr:row>
                <xdr:rowOff>77638</xdr:rowOff>
              </from>
              <to>
                <xdr:col>6</xdr:col>
                <xdr:colOff>750498</xdr:colOff>
                <xdr:row>9</xdr:row>
                <xdr:rowOff>181155</xdr:rowOff>
              </to>
            </anchor>
          </objectPr>
        </oleObject>
      </mc:Choice>
      <mc:Fallback>
        <oleObject progId="Equation.3" shapeId="29717" r:id="rId10"/>
      </mc:Fallback>
    </mc:AlternateContent>
  </oleObject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6"/>
  <dimension ref="A1:Z21"/>
  <sheetViews>
    <sheetView workbookViewId="0">
      <selection activeCell="A19" sqref="A19:C19"/>
    </sheetView>
  </sheetViews>
  <sheetFormatPr baseColWidth="10" defaultRowHeight="12.9"/>
  <cols>
    <col min="1" max="1" width="26.25" customWidth="1"/>
    <col min="2" max="2" width="7.875" customWidth="1"/>
    <col min="9" max="9" width="12.25" bestFit="1" customWidth="1"/>
    <col min="10" max="10" width="3.375" customWidth="1"/>
  </cols>
  <sheetData>
    <row r="1" spans="1:26" ht="21.1">
      <c r="A1" s="365" t="s">
        <v>462</v>
      </c>
      <c r="B1" s="285"/>
      <c r="C1" s="284"/>
      <c r="D1" s="284"/>
      <c r="E1" s="284"/>
      <c r="F1" s="285"/>
    </row>
    <row r="2" spans="1:26" ht="14.3">
      <c r="A2" s="3" t="s">
        <v>471</v>
      </c>
      <c r="B2" s="437" t="s">
        <v>513</v>
      </c>
      <c r="C2" s="463">
        <v>39.15</v>
      </c>
      <c r="I2" s="76" t="s">
        <v>1084</v>
      </c>
      <c r="J2" s="176"/>
    </row>
    <row r="3" spans="1:26" ht="14.3">
      <c r="A3" s="3" t="s">
        <v>468</v>
      </c>
      <c r="B3" s="31" t="s">
        <v>969</v>
      </c>
      <c r="C3" s="460">
        <v>141</v>
      </c>
      <c r="I3" s="76" t="s">
        <v>1085</v>
      </c>
      <c r="J3" s="9"/>
    </row>
    <row r="4" spans="1:26" ht="14.3">
      <c r="A4" s="3" t="s">
        <v>470</v>
      </c>
      <c r="B4" s="31" t="s">
        <v>969</v>
      </c>
      <c r="C4" s="460">
        <v>85</v>
      </c>
      <c r="Z4" s="77">
        <f>(2.38-($C3/250))*(1+($C2/(12*$C3)))</f>
        <v>1.8580191489361702</v>
      </c>
    </row>
    <row r="5" spans="1:26" ht="21.1">
      <c r="A5" s="369" t="s">
        <v>463</v>
      </c>
      <c r="B5" s="262" t="s">
        <v>1110</v>
      </c>
      <c r="C5" s="77">
        <f>C2*1000/C3/C4</f>
        <v>3.2665832290362955</v>
      </c>
      <c r="Z5" s="77">
        <f>(2.38-($C3/250))*(1+($C2/(6*$C3)))</f>
        <v>1.9000382978723402</v>
      </c>
    </row>
    <row r="6" spans="1:26">
      <c r="C6" s="1"/>
    </row>
    <row r="7" spans="1:26">
      <c r="C7" s="1"/>
    </row>
    <row r="8" spans="1:26">
      <c r="C8" s="1"/>
    </row>
    <row r="9" spans="1:26" ht="21.1">
      <c r="A9" s="380" t="s">
        <v>465</v>
      </c>
      <c r="B9" s="31" t="s">
        <v>436</v>
      </c>
      <c r="C9" s="461">
        <v>2.7</v>
      </c>
      <c r="I9" s="375">
        <f>I12</f>
        <v>3.2665832290362955</v>
      </c>
      <c r="J9" s="376" t="str">
        <f>IF(I9&lt;K9,"&lt;","&gt;")</f>
        <v>&lt;</v>
      </c>
      <c r="K9" s="377">
        <f>I13</f>
        <v>3.4020000000000001</v>
      </c>
      <c r="L9" t="s">
        <v>444</v>
      </c>
    </row>
    <row r="10" spans="1:26" ht="18.350000000000001">
      <c r="A10" s="367" t="s">
        <v>434</v>
      </c>
      <c r="B10" s="31"/>
      <c r="C10" s="491">
        <v>0.9</v>
      </c>
    </row>
    <row r="11" spans="1:26" ht="19.05" thickBot="1">
      <c r="A11" s="368" t="s">
        <v>435</v>
      </c>
      <c r="B11" s="31"/>
      <c r="C11" s="460">
        <v>1.25</v>
      </c>
    </row>
    <row r="12" spans="1:26" ht="21.1">
      <c r="A12" s="372" t="s">
        <v>464</v>
      </c>
      <c r="B12" s="262" t="s">
        <v>1110</v>
      </c>
      <c r="C12" s="371">
        <f>C9*C10/C11</f>
        <v>1.9440000000000002</v>
      </c>
      <c r="I12" s="373">
        <f>C5</f>
        <v>3.2665832290362955</v>
      </c>
      <c r="K12" s="1423">
        <f>C5/C12/C13</f>
        <v>0.96019495268556587</v>
      </c>
    </row>
    <row r="13" spans="1:26" ht="16.3" thickBot="1">
      <c r="A13" s="401" t="s">
        <v>466</v>
      </c>
      <c r="B13" s="31"/>
      <c r="C13" s="462">
        <v>1.75</v>
      </c>
      <c r="I13" s="160">
        <f>C12*C13</f>
        <v>3.4020000000000001</v>
      </c>
      <c r="K13" s="1424"/>
    </row>
    <row r="14" spans="1:26">
      <c r="I14" s="374" t="s">
        <v>444</v>
      </c>
    </row>
    <row r="15" spans="1:26">
      <c r="B15" s="1"/>
    </row>
    <row r="16" spans="1:26">
      <c r="B16" s="1"/>
    </row>
    <row r="18" spans="1:3" ht="13.6" thickBot="1">
      <c r="B18" s="1"/>
    </row>
    <row r="19" spans="1:3" ht="13.6" thickBot="1">
      <c r="A19" s="1417" t="s">
        <v>1142</v>
      </c>
      <c r="B19" s="1418"/>
      <c r="C19" s="1419"/>
    </row>
    <row r="20" spans="1:3">
      <c r="B20" s="1"/>
    </row>
    <row r="21" spans="1:3">
      <c r="B21" s="1"/>
    </row>
  </sheetData>
  <sheetProtection password="CCC4" sheet="1" objects="1" scenarios="1"/>
  <mergeCells count="2">
    <mergeCell ref="A19:C19"/>
    <mergeCell ref="K12:K13"/>
  </mergeCells>
  <phoneticPr fontId="2" type="noConversion"/>
  <hyperlinks>
    <hyperlink ref="A19" location="MENU!A1" display="RETOUR MENU"/>
    <hyperlink ref="A19:C19" location="'M2'!A1" display="RETOUR MENU"/>
    <hyperlink ref="A13" location="'2'!A1" display="kc,90"/>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oleObjects>
    <mc:AlternateContent xmlns:mc="http://schemas.openxmlformats.org/markup-compatibility/2006">
      <mc:Choice Requires="x14">
        <oleObject progId="Equation.3" shapeId="31754" r:id="rId4">
          <objectPr defaultSize="0" autoPict="0" r:id="rId5">
            <anchor moveWithCells="1" sizeWithCells="1">
              <from>
                <xdr:col>4</xdr:col>
                <xdr:colOff>483079</xdr:colOff>
                <xdr:row>3</xdr:row>
                <xdr:rowOff>60385</xdr:rowOff>
              </from>
              <to>
                <xdr:col>6</xdr:col>
                <xdr:colOff>672860</xdr:colOff>
                <xdr:row>7</xdr:row>
                <xdr:rowOff>0</xdr:rowOff>
              </to>
            </anchor>
          </objectPr>
        </oleObject>
      </mc:Choice>
      <mc:Fallback>
        <oleObject progId="Equation.3" shapeId="31754" r:id="rId4"/>
      </mc:Fallback>
    </mc:AlternateContent>
    <mc:AlternateContent xmlns:mc="http://schemas.openxmlformats.org/markup-compatibility/2006">
      <mc:Choice Requires="x14">
        <oleObject progId="Equation.3" shapeId="31757" r:id="rId6">
          <objectPr defaultSize="0" autoPict="0" r:id="rId7">
            <anchor moveWithCells="1" sizeWithCells="1">
              <from>
                <xdr:col>4</xdr:col>
                <xdr:colOff>526211</xdr:colOff>
                <xdr:row>10</xdr:row>
                <xdr:rowOff>155275</xdr:rowOff>
              </from>
              <to>
                <xdr:col>6</xdr:col>
                <xdr:colOff>552091</xdr:colOff>
                <xdr:row>14</xdr:row>
                <xdr:rowOff>69011</xdr:rowOff>
              </to>
            </anchor>
          </objectPr>
        </oleObject>
      </mc:Choice>
      <mc:Fallback>
        <oleObject progId="Equation.3" shapeId="31757" r:id="rId6"/>
      </mc:Fallback>
    </mc:AlternateContent>
    <mc:AlternateContent xmlns:mc="http://schemas.openxmlformats.org/markup-compatibility/2006">
      <mc:Choice Requires="x14">
        <oleObject progId="Equation.3" shapeId="31760" r:id="rId8">
          <objectPr defaultSize="0" autoPict="0" r:id="rId9">
            <anchor moveWithCells="1" sizeWithCells="1">
              <from>
                <xdr:col>4</xdr:col>
                <xdr:colOff>284672</xdr:colOff>
                <xdr:row>19</xdr:row>
                <xdr:rowOff>8626</xdr:rowOff>
              </from>
              <to>
                <xdr:col>6</xdr:col>
                <xdr:colOff>543464</xdr:colOff>
                <xdr:row>23</xdr:row>
                <xdr:rowOff>0</xdr:rowOff>
              </to>
            </anchor>
          </objectPr>
        </oleObject>
      </mc:Choice>
      <mc:Fallback>
        <oleObject progId="Equation.3" shapeId="31760" r:id="rId8"/>
      </mc:Fallback>
    </mc:AlternateContent>
    <mc:AlternateContent xmlns:mc="http://schemas.openxmlformats.org/markup-compatibility/2006">
      <mc:Choice Requires="x14">
        <oleObject progId="Equation.3" shapeId="31761" r:id="rId10">
          <objectPr defaultSize="0" r:id="rId11">
            <anchor moveWithCells="1" sizeWithCells="1">
              <from>
                <xdr:col>4</xdr:col>
                <xdr:colOff>301925</xdr:colOff>
                <xdr:row>8</xdr:row>
                <xdr:rowOff>0</xdr:rowOff>
              </from>
              <to>
                <xdr:col>7</xdr:col>
                <xdr:colOff>172528</xdr:colOff>
                <xdr:row>9</xdr:row>
                <xdr:rowOff>86264</xdr:rowOff>
              </to>
            </anchor>
          </objectPr>
        </oleObject>
      </mc:Choice>
      <mc:Fallback>
        <oleObject progId="Equation.3" shapeId="31761" r:id="rId10"/>
      </mc:Fallback>
    </mc:AlternateContent>
  </oleObject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7"/>
  <dimension ref="A1:Z21"/>
  <sheetViews>
    <sheetView workbookViewId="0">
      <selection activeCell="I5" sqref="I5:K5"/>
    </sheetView>
  </sheetViews>
  <sheetFormatPr baseColWidth="10" defaultRowHeight="12.9"/>
  <cols>
    <col min="1" max="1" width="20.875" customWidth="1"/>
    <col min="2" max="2" width="7.875" customWidth="1"/>
    <col min="9" max="9" width="12.25" bestFit="1" customWidth="1"/>
    <col min="10" max="10" width="3.375" customWidth="1"/>
  </cols>
  <sheetData>
    <row r="1" spans="1:26" ht="21.1">
      <c r="A1" s="365" t="s">
        <v>475</v>
      </c>
      <c r="B1" s="285"/>
      <c r="C1" s="284"/>
      <c r="D1" s="284"/>
      <c r="E1" s="284"/>
      <c r="F1" s="285"/>
    </row>
    <row r="2" spans="1:26" ht="14.3">
      <c r="A2" s="3" t="s">
        <v>471</v>
      </c>
      <c r="B2" s="437" t="s">
        <v>1101</v>
      </c>
      <c r="C2" s="463">
        <v>50</v>
      </c>
      <c r="I2" s="76" t="s">
        <v>1084</v>
      </c>
      <c r="J2" s="176"/>
    </row>
    <row r="3" spans="1:26" ht="14.3">
      <c r="A3" s="3" t="s">
        <v>479</v>
      </c>
      <c r="B3" s="31" t="s">
        <v>969</v>
      </c>
      <c r="C3" s="460">
        <v>100</v>
      </c>
      <c r="I3" s="76" t="s">
        <v>1085</v>
      </c>
      <c r="J3" s="9"/>
    </row>
    <row r="4" spans="1:26" ht="14.95" thickBot="1">
      <c r="A4" s="3"/>
      <c r="B4" s="31"/>
      <c r="C4" s="366"/>
      <c r="Z4" s="77">
        <f>(2.38-($C3/250))*(1+($C2/(12*$C3)))</f>
        <v>2.0625</v>
      </c>
    </row>
    <row r="5" spans="1:26" ht="21.75" thickBot="1">
      <c r="A5" s="369" t="s">
        <v>476</v>
      </c>
      <c r="B5" s="262" t="s">
        <v>1110</v>
      </c>
      <c r="C5" s="77">
        <f>C2*1000/C3/C3</f>
        <v>5</v>
      </c>
      <c r="I5" s="1417" t="s">
        <v>1142</v>
      </c>
      <c r="J5" s="1418"/>
      <c r="K5" s="1419"/>
      <c r="Z5" s="77">
        <f>(2.38-($C3/250))*(1+($C2/(6*$C3)))</f>
        <v>2.145</v>
      </c>
    </row>
    <row r="6" spans="1:26">
      <c r="C6" s="1"/>
    </row>
    <row r="7" spans="1:26">
      <c r="C7" s="1"/>
    </row>
    <row r="8" spans="1:26">
      <c r="C8" s="1"/>
      <c r="J8" s="438"/>
      <c r="K8" s="438"/>
    </row>
    <row r="9" spans="1:26" ht="21.1">
      <c r="A9" s="380" t="s">
        <v>477</v>
      </c>
      <c r="B9" s="31" t="s">
        <v>436</v>
      </c>
      <c r="C9" s="461">
        <v>15</v>
      </c>
      <c r="I9" s="441">
        <f>I12</f>
        <v>5</v>
      </c>
      <c r="J9" s="442" t="str">
        <f>IF(I9&lt;K9,"&lt;","&gt;")</f>
        <v>&lt;</v>
      </c>
      <c r="K9" s="440">
        <f>I13</f>
        <v>8.3076923076923084</v>
      </c>
      <c r="L9" s="439" t="s">
        <v>444</v>
      </c>
    </row>
    <row r="10" spans="1:26" ht="18.350000000000001">
      <c r="A10" s="367" t="s">
        <v>434</v>
      </c>
      <c r="B10" s="31"/>
      <c r="C10" s="491">
        <v>0.9</v>
      </c>
    </row>
    <row r="11" spans="1:26" ht="19.05" thickBot="1">
      <c r="A11" s="368" t="s">
        <v>435</v>
      </c>
      <c r="B11" s="31"/>
      <c r="C11" s="460">
        <v>1.3</v>
      </c>
      <c r="H11" s="287"/>
    </row>
    <row r="12" spans="1:26" ht="21.1">
      <c r="A12" s="372" t="s">
        <v>478</v>
      </c>
      <c r="B12" s="262" t="s">
        <v>1110</v>
      </c>
      <c r="C12" s="371">
        <f>C9*C10/C11</f>
        <v>10.384615384615385</v>
      </c>
      <c r="I12" s="373">
        <f>C5</f>
        <v>5</v>
      </c>
      <c r="K12" s="1423">
        <f>C5/C12/C13</f>
        <v>0.60185185185185175</v>
      </c>
    </row>
    <row r="13" spans="1:26" ht="16.3" thickBot="1">
      <c r="A13" s="401" t="s">
        <v>450</v>
      </c>
      <c r="B13" s="31"/>
      <c r="C13" s="462">
        <v>0.8</v>
      </c>
      <c r="I13" s="160">
        <f>C12*C13</f>
        <v>8.3076923076923084</v>
      </c>
      <c r="K13" s="1424"/>
    </row>
    <row r="14" spans="1:26">
      <c r="I14" s="374" t="s">
        <v>444</v>
      </c>
    </row>
    <row r="15" spans="1:26">
      <c r="B15" s="1"/>
    </row>
    <row r="16" spans="1:26">
      <c r="B16" s="1"/>
    </row>
    <row r="18" spans="2:2">
      <c r="B18" s="1"/>
    </row>
    <row r="19" spans="2:2">
      <c r="B19" s="1"/>
    </row>
    <row r="20" spans="2:2">
      <c r="B20" s="1"/>
    </row>
    <row r="21" spans="2:2">
      <c r="B21" s="1"/>
    </row>
  </sheetData>
  <sheetProtection password="CCC4" sheet="1" objects="1" scenarios="1"/>
  <mergeCells count="2">
    <mergeCell ref="I5:K5"/>
    <mergeCell ref="K12:K13"/>
  </mergeCells>
  <phoneticPr fontId="2" type="noConversion"/>
  <hyperlinks>
    <hyperlink ref="I5" location="MENU!A1" display="RETOUR MENU"/>
    <hyperlink ref="I5:K5" location="'M2'!A1" display="RETOUR MENU"/>
    <hyperlink ref="A13" location="'3'!A1" display="kh"/>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oleObjects>
    <mc:AlternateContent xmlns:mc="http://schemas.openxmlformats.org/markup-compatibility/2006">
      <mc:Choice Requires="x14">
        <oleObject progId="Equation.3" shapeId="32776" r:id="rId4">
          <objectPr defaultSize="0" autoPict="0" r:id="rId5">
            <anchor moveWithCells="1" sizeWithCells="1">
              <from>
                <xdr:col>4</xdr:col>
                <xdr:colOff>483079</xdr:colOff>
                <xdr:row>3</xdr:row>
                <xdr:rowOff>60385</xdr:rowOff>
              </from>
              <to>
                <xdr:col>6</xdr:col>
                <xdr:colOff>672860</xdr:colOff>
                <xdr:row>7</xdr:row>
                <xdr:rowOff>0</xdr:rowOff>
              </to>
            </anchor>
          </objectPr>
        </oleObject>
      </mc:Choice>
      <mc:Fallback>
        <oleObject progId="Equation.3" shapeId="32776" r:id="rId4"/>
      </mc:Fallback>
    </mc:AlternateContent>
    <mc:AlternateContent xmlns:mc="http://schemas.openxmlformats.org/markup-compatibility/2006">
      <mc:Choice Requires="x14">
        <oleObject progId="Equation.3" shapeId="32777" r:id="rId6">
          <objectPr defaultSize="0" autoPict="0" r:id="rId7">
            <anchor moveWithCells="1" sizeWithCells="1">
              <from>
                <xdr:col>4</xdr:col>
                <xdr:colOff>526211</xdr:colOff>
                <xdr:row>10</xdr:row>
                <xdr:rowOff>155275</xdr:rowOff>
              </from>
              <to>
                <xdr:col>6</xdr:col>
                <xdr:colOff>552091</xdr:colOff>
                <xdr:row>14</xdr:row>
                <xdr:rowOff>69011</xdr:rowOff>
              </to>
            </anchor>
          </objectPr>
        </oleObject>
      </mc:Choice>
      <mc:Fallback>
        <oleObject progId="Equation.3" shapeId="32777" r:id="rId6"/>
      </mc:Fallback>
    </mc:AlternateContent>
    <mc:AlternateContent xmlns:mc="http://schemas.openxmlformats.org/markup-compatibility/2006">
      <mc:Choice Requires="x14">
        <oleObject progId="Equation.3" shapeId="32778" r:id="rId8">
          <objectPr defaultSize="0" autoPict="0" r:id="rId9">
            <anchor moveWithCells="1" sizeWithCells="1">
              <from>
                <xdr:col>4</xdr:col>
                <xdr:colOff>284672</xdr:colOff>
                <xdr:row>19</xdr:row>
                <xdr:rowOff>8626</xdr:rowOff>
              </from>
              <to>
                <xdr:col>6</xdr:col>
                <xdr:colOff>543464</xdr:colOff>
                <xdr:row>23</xdr:row>
                <xdr:rowOff>0</xdr:rowOff>
              </to>
            </anchor>
          </objectPr>
        </oleObject>
      </mc:Choice>
      <mc:Fallback>
        <oleObject progId="Equation.3" shapeId="32778" r:id="rId8"/>
      </mc:Fallback>
    </mc:AlternateContent>
    <mc:AlternateContent xmlns:mc="http://schemas.openxmlformats.org/markup-compatibility/2006">
      <mc:Choice Requires="x14">
        <oleObject progId="Equation.3" shapeId="32779" r:id="rId10">
          <objectPr defaultSize="0" r:id="rId11">
            <anchor moveWithCells="1" sizeWithCells="1">
              <from>
                <xdr:col>4</xdr:col>
                <xdr:colOff>301925</xdr:colOff>
                <xdr:row>8</xdr:row>
                <xdr:rowOff>0</xdr:rowOff>
              </from>
              <to>
                <xdr:col>7</xdr:col>
                <xdr:colOff>172528</xdr:colOff>
                <xdr:row>9</xdr:row>
                <xdr:rowOff>86264</xdr:rowOff>
              </to>
            </anchor>
          </objectPr>
        </oleObject>
      </mc:Choice>
      <mc:Fallback>
        <oleObject progId="Equation.3" shapeId="32779" r:id="rId10"/>
      </mc:Fallback>
    </mc:AlternateContent>
  </oleObject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8"/>
  <dimension ref="A1:Z26"/>
  <sheetViews>
    <sheetView workbookViewId="0">
      <selection activeCell="A22" sqref="A22:C22"/>
    </sheetView>
  </sheetViews>
  <sheetFormatPr baseColWidth="10" defaultRowHeight="12.9"/>
  <cols>
    <col min="1" max="1" width="23.25" customWidth="1"/>
    <col min="2" max="2" width="7.875" customWidth="1"/>
    <col min="3" max="3" width="15" customWidth="1"/>
    <col min="4" max="4" width="15.625" customWidth="1"/>
    <col min="6" max="6" width="11.125" customWidth="1"/>
    <col min="7" max="7" width="14.875" customWidth="1"/>
    <col min="8" max="8" width="9.125" customWidth="1"/>
    <col min="9" max="9" width="9.375" customWidth="1"/>
    <col min="10" max="10" width="5.25" customWidth="1"/>
    <col min="11" max="11" width="8.125" customWidth="1"/>
  </cols>
  <sheetData>
    <row r="1" spans="1:26" ht="21.1">
      <c r="A1" s="365" t="s">
        <v>524</v>
      </c>
      <c r="B1" s="285"/>
      <c r="C1" s="284"/>
      <c r="D1" s="284"/>
      <c r="E1" s="284"/>
      <c r="F1" s="285"/>
    </row>
    <row r="2" spans="1:26" s="381" customFormat="1" ht="15.8" customHeight="1">
      <c r="A2" s="3" t="s">
        <v>430</v>
      </c>
      <c r="B2" s="31" t="s">
        <v>969</v>
      </c>
      <c r="C2" s="471">
        <v>150</v>
      </c>
      <c r="D2" s="385"/>
      <c r="E2" s="385"/>
      <c r="F2" s="384"/>
    </row>
    <row r="3" spans="1:26" s="381" customFormat="1" ht="15.8" customHeight="1">
      <c r="A3" s="3" t="s">
        <v>429</v>
      </c>
      <c r="B3" s="31" t="s">
        <v>969</v>
      </c>
      <c r="C3" s="472">
        <v>80</v>
      </c>
      <c r="D3" s="385"/>
      <c r="E3" s="385"/>
      <c r="F3" s="384"/>
    </row>
    <row r="4" spans="1:26" ht="15.8" customHeight="1">
      <c r="A4" s="1604" t="s">
        <v>431</v>
      </c>
      <c r="B4" s="1606" t="s">
        <v>489</v>
      </c>
      <c r="C4" s="274" t="s">
        <v>481</v>
      </c>
      <c r="D4" s="274" t="s">
        <v>480</v>
      </c>
      <c r="E4" s="387"/>
      <c r="F4" s="386"/>
      <c r="G4" s="275"/>
      <c r="H4" s="275"/>
      <c r="I4" s="275"/>
      <c r="J4" s="275"/>
      <c r="K4" s="275"/>
      <c r="L4" s="275"/>
    </row>
    <row r="5" spans="1:26" ht="14.3">
      <c r="A5" s="1605"/>
      <c r="B5" s="1607"/>
      <c r="C5" s="473">
        <v>0.6</v>
      </c>
      <c r="D5" s="473">
        <v>0.3</v>
      </c>
      <c r="I5" s="76" t="s">
        <v>1084</v>
      </c>
      <c r="J5" s="176"/>
    </row>
    <row r="6" spans="1:26" ht="14.95">
      <c r="A6" s="1608" t="s">
        <v>432</v>
      </c>
      <c r="B6" s="1610" t="s">
        <v>1110</v>
      </c>
      <c r="C6" s="388" t="s">
        <v>486</v>
      </c>
      <c r="D6" s="388" t="s">
        <v>487</v>
      </c>
      <c r="I6" s="76" t="s">
        <v>1085</v>
      </c>
      <c r="J6" s="9"/>
    </row>
    <row r="7" spans="1:26" ht="13.6">
      <c r="A7" s="1609"/>
      <c r="B7" s="1611"/>
      <c r="C7" s="478">
        <f>+Z7</f>
        <v>2</v>
      </c>
      <c r="D7" s="478">
        <f>+Z8</f>
        <v>1.8749999999999998</v>
      </c>
      <c r="Z7" s="77">
        <f>(C5/((C2^2*C3)/6))*1000000</f>
        <v>2</v>
      </c>
    </row>
    <row r="8" spans="1:26">
      <c r="Z8" s="77">
        <f>(D5/(((C3^2)*C2)/6))*1000000</f>
        <v>1.8749999999999998</v>
      </c>
    </row>
    <row r="9" spans="1:26">
      <c r="I9" s="135"/>
      <c r="J9" s="394"/>
      <c r="K9" s="394"/>
      <c r="Z9" s="395"/>
    </row>
    <row r="10" spans="1:26">
      <c r="C10" s="1"/>
    </row>
    <row r="11" spans="1:26" ht="19.55" customHeight="1">
      <c r="A11" s="367" t="s">
        <v>433</v>
      </c>
      <c r="B11" s="31" t="s">
        <v>436</v>
      </c>
      <c r="C11" s="474">
        <v>24</v>
      </c>
      <c r="I11" s="392"/>
      <c r="J11" s="183"/>
      <c r="K11" s="393"/>
      <c r="L11" t="s">
        <v>444</v>
      </c>
    </row>
    <row r="12" spans="1:26" ht="19.55" customHeight="1">
      <c r="A12" s="367" t="s">
        <v>434</v>
      </c>
      <c r="B12" s="31"/>
      <c r="C12" s="475">
        <v>0.8</v>
      </c>
      <c r="L12" s="374" t="s">
        <v>444</v>
      </c>
    </row>
    <row r="13" spans="1:26" ht="19.55" customHeight="1">
      <c r="A13" s="368" t="s">
        <v>435</v>
      </c>
      <c r="B13" s="31"/>
      <c r="C13" s="475">
        <v>1.3</v>
      </c>
    </row>
    <row r="14" spans="1:26" ht="17.350000000000001" customHeight="1">
      <c r="A14" s="399" t="s">
        <v>491</v>
      </c>
      <c r="B14" s="31"/>
      <c r="C14" s="476">
        <v>0.7</v>
      </c>
      <c r="I14" s="390"/>
      <c r="J14" s="275"/>
      <c r="K14" s="391"/>
    </row>
    <row r="15" spans="1:26" ht="15.8" customHeight="1">
      <c r="A15" s="400" t="s">
        <v>482</v>
      </c>
      <c r="B15" s="31" t="s">
        <v>484</v>
      </c>
      <c r="C15" s="477">
        <v>1</v>
      </c>
      <c r="I15" s="390"/>
      <c r="J15" s="275"/>
      <c r="K15" s="391"/>
    </row>
    <row r="16" spans="1:26" ht="15.8" customHeight="1">
      <c r="A16" s="1161"/>
      <c r="B16" s="31"/>
      <c r="C16" s="477"/>
      <c r="F16" s="1602">
        <f>(C7/C19)+C14*(D7/C20)</f>
        <v>0.22428385416666663</v>
      </c>
      <c r="H16" s="1602">
        <f>(C14*(C7/C19))+(D7/C20)</f>
        <v>0.22174479166666661</v>
      </c>
      <c r="I16" s="390"/>
      <c r="K16" s="391"/>
    </row>
    <row r="17" spans="1:11" ht="15.8" customHeight="1">
      <c r="A17" s="399" t="s">
        <v>492</v>
      </c>
      <c r="B17" s="31"/>
      <c r="C17" s="477">
        <v>1</v>
      </c>
      <c r="F17" s="1603"/>
      <c r="H17" s="1603"/>
    </row>
    <row r="18" spans="1:11" ht="15.8" customHeight="1">
      <c r="A18" s="619" t="s">
        <v>452</v>
      </c>
      <c r="B18" s="31"/>
      <c r="C18" s="477">
        <v>1</v>
      </c>
    </row>
    <row r="19" spans="1:11" ht="23.8">
      <c r="A19" s="372" t="s">
        <v>673</v>
      </c>
      <c r="B19" s="262" t="s">
        <v>1110</v>
      </c>
      <c r="C19" s="396">
        <f>(C11*C12/C13)*C15*C17*C18</f>
        <v>14.76923076923077</v>
      </c>
      <c r="E19" s="397" t="s">
        <v>488</v>
      </c>
      <c r="G19" s="398">
        <f>MAX(F16,H16)</f>
        <v>0.22428385416666663</v>
      </c>
      <c r="I19" s="390"/>
      <c r="J19" s="275"/>
      <c r="K19" s="391"/>
    </row>
    <row r="20" spans="1:11" ht="21.1">
      <c r="A20" s="372" t="s">
        <v>674</v>
      </c>
      <c r="B20" s="262" t="s">
        <v>1110</v>
      </c>
      <c r="C20" s="396">
        <f>C11*C12/C13*C15</f>
        <v>14.76923076923077</v>
      </c>
    </row>
    <row r="21" spans="1:11" ht="13.6" thickBot="1">
      <c r="B21" s="1"/>
    </row>
    <row r="22" spans="1:11" ht="13.6" thickBot="1">
      <c r="A22" s="1417" t="s">
        <v>1142</v>
      </c>
      <c r="B22" s="1418"/>
      <c r="C22" s="1419"/>
    </row>
    <row r="23" spans="1:11">
      <c r="B23" s="1"/>
    </row>
    <row r="24" spans="1:11">
      <c r="B24" s="1"/>
    </row>
    <row r="25" spans="1:11">
      <c r="B25" s="1"/>
    </row>
    <row r="26" spans="1:11">
      <c r="B26" s="1"/>
    </row>
  </sheetData>
  <mergeCells count="7">
    <mergeCell ref="F16:F17"/>
    <mergeCell ref="H16:H17"/>
    <mergeCell ref="A22:C22"/>
    <mergeCell ref="A4:A5"/>
    <mergeCell ref="B4:B5"/>
    <mergeCell ref="A6:A7"/>
    <mergeCell ref="B6:B7"/>
  </mergeCells>
  <phoneticPr fontId="2" type="noConversion"/>
  <hyperlinks>
    <hyperlink ref="A22" location="MENU!A1" display="RETOUR MENU"/>
    <hyperlink ref="A22:C22" location="'M2'!A1" display="RETOUR MENU"/>
    <hyperlink ref="A15" location="'3'!A1" display="kh"/>
  </hyperlinks>
  <pageMargins left="0.78740157499999996" right="0.78740157499999996" top="0.984251969" bottom="0.984251969" header="0.4921259845" footer="0.4921259845"/>
  <pageSetup paperSize="9" orientation="portrait" horizontalDpi="4294967293" verticalDpi="300" r:id="rId1"/>
  <headerFooter alignWithMargins="0"/>
  <drawing r:id="rId2"/>
  <legacyDrawing r:id="rId3"/>
  <oleObjects>
    <mc:AlternateContent xmlns:mc="http://schemas.openxmlformats.org/markup-compatibility/2006">
      <mc:Choice Requires="x14">
        <oleObject progId="Equation.3" shapeId="34819" r:id="rId4">
          <objectPr defaultSize="0" autoPict="0" r:id="rId5">
            <anchor moveWithCells="1" sizeWithCells="1">
              <from>
                <xdr:col>4</xdr:col>
                <xdr:colOff>215660</xdr:colOff>
                <xdr:row>4</xdr:row>
                <xdr:rowOff>34506</xdr:rowOff>
              </from>
              <to>
                <xdr:col>5</xdr:col>
                <xdr:colOff>396815</xdr:colOff>
                <xdr:row>7</xdr:row>
                <xdr:rowOff>8626</xdr:rowOff>
              </to>
            </anchor>
          </objectPr>
        </oleObject>
      </mc:Choice>
      <mc:Fallback>
        <oleObject progId="Equation.3" shapeId="34819" r:id="rId4"/>
      </mc:Fallback>
    </mc:AlternateContent>
    <mc:AlternateContent xmlns:mc="http://schemas.openxmlformats.org/markup-compatibility/2006">
      <mc:Choice Requires="x14">
        <oleObject progId="Equation.3" shapeId="34831" r:id="rId6">
          <objectPr defaultSize="0" autoPict="0" r:id="rId7">
            <anchor moveWithCells="1" sizeWithCells="1">
              <from>
                <xdr:col>6</xdr:col>
                <xdr:colOff>293298</xdr:colOff>
                <xdr:row>11</xdr:row>
                <xdr:rowOff>0</xdr:rowOff>
              </from>
              <to>
                <xdr:col>9</xdr:col>
                <xdr:colOff>241540</xdr:colOff>
                <xdr:row>13</xdr:row>
                <xdr:rowOff>207034</xdr:rowOff>
              </to>
            </anchor>
          </objectPr>
        </oleObject>
      </mc:Choice>
      <mc:Fallback>
        <oleObject progId="Equation.3" shapeId="34831" r:id="rId6"/>
      </mc:Fallback>
    </mc:AlternateContent>
    <mc:AlternateContent xmlns:mc="http://schemas.openxmlformats.org/markup-compatibility/2006">
      <mc:Choice Requires="x14">
        <oleObject progId="Equation.3" shapeId="34832" r:id="rId8">
          <objectPr defaultSize="0" autoPict="0" r:id="rId9">
            <anchor moveWithCells="1" sizeWithCells="1">
              <from>
                <xdr:col>3</xdr:col>
                <xdr:colOff>698740</xdr:colOff>
                <xdr:row>11</xdr:row>
                <xdr:rowOff>8626</xdr:rowOff>
              </from>
              <to>
                <xdr:col>6</xdr:col>
                <xdr:colOff>215660</xdr:colOff>
                <xdr:row>14</xdr:row>
                <xdr:rowOff>0</xdr:rowOff>
              </to>
            </anchor>
          </objectPr>
        </oleObject>
      </mc:Choice>
      <mc:Fallback>
        <oleObject progId="Equation.3" shapeId="34832" r:id="rId8"/>
      </mc:Fallback>
    </mc:AlternateContent>
    <mc:AlternateContent xmlns:mc="http://schemas.openxmlformats.org/markup-compatibility/2006">
      <mc:Choice Requires="x14">
        <oleObject progId="Equation.3" shapeId="34847" r:id="rId10">
          <objectPr defaultSize="0" autoPict="0" r:id="rId11">
            <anchor moveWithCells="1" sizeWithCells="1">
              <from>
                <xdr:col>5</xdr:col>
                <xdr:colOff>638355</xdr:colOff>
                <xdr:row>19</xdr:row>
                <xdr:rowOff>215660</xdr:rowOff>
              </from>
              <to>
                <xdr:col>8</xdr:col>
                <xdr:colOff>526211</xdr:colOff>
                <xdr:row>23</xdr:row>
                <xdr:rowOff>0</xdr:rowOff>
              </to>
            </anchor>
          </objectPr>
        </oleObject>
      </mc:Choice>
      <mc:Fallback>
        <oleObject progId="Equation.3" shapeId="34847" r:id="rId10"/>
      </mc:Fallback>
    </mc:AlternateContent>
  </oleObject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9"/>
  <dimension ref="A1:Z28"/>
  <sheetViews>
    <sheetView zoomScale="95" workbookViewId="0">
      <selection activeCell="H4" sqref="H4:J4"/>
    </sheetView>
  </sheetViews>
  <sheetFormatPr baseColWidth="10" defaultRowHeight="12.9"/>
  <cols>
    <col min="1" max="1" width="27.375" customWidth="1"/>
    <col min="2" max="2" width="7.875" customWidth="1"/>
    <col min="3" max="3" width="15" customWidth="1"/>
    <col min="4" max="4" width="15.625" customWidth="1"/>
    <col min="6" max="6" width="11.125" customWidth="1"/>
    <col min="7" max="7" width="12.25" customWidth="1"/>
    <col min="8" max="8" width="10.625" customWidth="1"/>
    <col min="9" max="9" width="9.375" customWidth="1"/>
    <col min="10" max="10" width="5.25" customWidth="1"/>
    <col min="11" max="11" width="8.125" customWidth="1"/>
  </cols>
  <sheetData>
    <row r="1" spans="1:26" ht="19.55" customHeight="1">
      <c r="A1" s="365" t="s">
        <v>1277</v>
      </c>
      <c r="B1" s="285"/>
      <c r="C1" s="284"/>
      <c r="D1" s="284"/>
      <c r="E1" s="284"/>
      <c r="F1" s="285"/>
    </row>
    <row r="2" spans="1:26" s="381" customFormat="1" ht="15.8" customHeight="1">
      <c r="A2" s="3" t="s">
        <v>430</v>
      </c>
      <c r="B2" s="31" t="s">
        <v>969</v>
      </c>
      <c r="C2" s="471">
        <v>175</v>
      </c>
      <c r="D2" s="385"/>
      <c r="E2" s="385"/>
      <c r="F2" s="384"/>
    </row>
    <row r="3" spans="1:26" s="381" customFormat="1" ht="15.8" customHeight="1" thickBot="1">
      <c r="A3" s="3" t="s">
        <v>429</v>
      </c>
      <c r="B3" s="31" t="s">
        <v>969</v>
      </c>
      <c r="C3" s="472">
        <v>63</v>
      </c>
      <c r="D3" s="385"/>
      <c r="E3" s="385"/>
      <c r="F3" s="384"/>
    </row>
    <row r="4" spans="1:26" ht="15.8" customHeight="1" thickBot="1">
      <c r="A4" s="1604" t="s">
        <v>431</v>
      </c>
      <c r="B4" s="1612" t="s">
        <v>489</v>
      </c>
      <c r="C4" s="274" t="s">
        <v>481</v>
      </c>
      <c r="D4" s="274" t="s">
        <v>480</v>
      </c>
      <c r="E4" s="387"/>
      <c r="F4" s="386"/>
      <c r="G4" s="275"/>
      <c r="H4" s="1417" t="s">
        <v>1142</v>
      </c>
      <c r="I4" s="1418"/>
      <c r="J4" s="1419"/>
      <c r="K4" s="275"/>
      <c r="L4" s="275"/>
    </row>
    <row r="5" spans="1:26" ht="14.3">
      <c r="A5" s="1605"/>
      <c r="B5" s="1613"/>
      <c r="C5" s="479">
        <v>0.3</v>
      </c>
      <c r="D5" s="479">
        <v>0</v>
      </c>
      <c r="I5" s="76" t="s">
        <v>1084</v>
      </c>
      <c r="J5" s="176"/>
    </row>
    <row r="6" spans="1:26" ht="14.95">
      <c r="A6" s="1608" t="s">
        <v>432</v>
      </c>
      <c r="B6" s="1614" t="s">
        <v>1110</v>
      </c>
      <c r="C6" s="388" t="s">
        <v>486</v>
      </c>
      <c r="D6" s="388" t="s">
        <v>487</v>
      </c>
      <c r="I6" s="76" t="s">
        <v>1085</v>
      </c>
      <c r="J6" s="9"/>
    </row>
    <row r="7" spans="1:26" ht="13.6">
      <c r="A7" s="1609"/>
      <c r="B7" s="1615"/>
      <c r="C7" s="389">
        <f>+Z7</f>
        <v>0.93294460641399413</v>
      </c>
      <c r="D7" s="389">
        <f>+Z9</f>
        <v>0</v>
      </c>
      <c r="Z7" s="77">
        <f>(C5/((C2^2*C3)/6))*1000000</f>
        <v>0.93294460641399413</v>
      </c>
    </row>
    <row r="8" spans="1:26" ht="18" customHeight="1">
      <c r="A8" s="427" t="s">
        <v>509</v>
      </c>
      <c r="B8" s="428" t="s">
        <v>513</v>
      </c>
      <c r="C8" s="480">
        <v>31.5</v>
      </c>
      <c r="D8" s="426"/>
      <c r="Z8" s="77"/>
    </row>
    <row r="9" spans="1:26" ht="17.350000000000001" customHeight="1">
      <c r="A9" s="369" t="s">
        <v>443</v>
      </c>
      <c r="B9" s="262" t="s">
        <v>1110</v>
      </c>
      <c r="C9" s="389">
        <f>C8*1000/C2/C3</f>
        <v>2.8571428571428572</v>
      </c>
      <c r="D9" s="381"/>
      <c r="G9" s="1214" t="s">
        <v>1285</v>
      </c>
      <c r="H9" s="1215"/>
      <c r="I9" s="1216"/>
      <c r="J9" s="1215"/>
      <c r="K9" s="1215"/>
      <c r="L9" s="1217"/>
      <c r="Z9" s="77">
        <f>(D5/(((C3^2)*C2)/6))*1000000</f>
        <v>0</v>
      </c>
    </row>
    <row r="10" spans="1:26" ht="8.35" customHeight="1">
      <c r="I10" s="135"/>
      <c r="J10" s="394"/>
      <c r="K10" s="394"/>
      <c r="Z10" s="395"/>
    </row>
    <row r="11" spans="1:26" ht="17.350000000000001" customHeight="1">
      <c r="A11" s="367" t="s">
        <v>441</v>
      </c>
      <c r="B11" s="31" t="s">
        <v>436</v>
      </c>
      <c r="C11" s="474">
        <v>23</v>
      </c>
    </row>
    <row r="12" spans="1:26" ht="17.350000000000001" customHeight="1">
      <c r="A12" s="367" t="s">
        <v>433</v>
      </c>
      <c r="B12" s="31" t="s">
        <v>436</v>
      </c>
      <c r="C12" s="474">
        <v>30</v>
      </c>
      <c r="I12" s="392"/>
      <c r="J12" s="183"/>
      <c r="K12" s="393"/>
    </row>
    <row r="13" spans="1:26" ht="17.350000000000001" customHeight="1">
      <c r="A13" s="367" t="s">
        <v>434</v>
      </c>
      <c r="B13" s="31"/>
      <c r="C13" s="475">
        <v>1.1000000000000001</v>
      </c>
    </row>
    <row r="14" spans="1:26" ht="17.350000000000001" customHeight="1">
      <c r="A14" s="368" t="s">
        <v>435</v>
      </c>
      <c r="B14" s="31"/>
      <c r="C14" s="475">
        <v>1.3</v>
      </c>
    </row>
    <row r="15" spans="1:26" ht="17.350000000000001" customHeight="1">
      <c r="A15" s="399" t="s">
        <v>508</v>
      </c>
      <c r="B15" s="31"/>
      <c r="C15" s="476">
        <v>0.7</v>
      </c>
      <c r="I15" s="390"/>
      <c r="J15" s="275"/>
      <c r="K15" s="391"/>
    </row>
    <row r="16" spans="1:26" ht="15.8" customHeight="1">
      <c r="A16" s="429" t="s">
        <v>482</v>
      </c>
      <c r="B16" s="430" t="s">
        <v>484</v>
      </c>
      <c r="C16" s="477">
        <v>1</v>
      </c>
      <c r="I16" s="390"/>
      <c r="J16" s="275"/>
      <c r="K16" s="391"/>
    </row>
    <row r="17" spans="1:26" ht="15.8" customHeight="1">
      <c r="A17" s="429" t="s">
        <v>483</v>
      </c>
      <c r="B17" s="430" t="s">
        <v>484</v>
      </c>
      <c r="C17" s="477">
        <v>1</v>
      </c>
      <c r="F17" s="1602">
        <f>((C9/C23)^(Z18))+(C15*C7/C20)+(D7/C21)</f>
        <v>1.2491409211906106</v>
      </c>
      <c r="H17" s="1602">
        <f>((C9/C23)^(Z18))+(C7/C20)+(C15*D7/C21)</f>
        <v>1.2601666301755032</v>
      </c>
      <c r="I17" s="390"/>
      <c r="K17" s="391"/>
    </row>
    <row r="18" spans="1:26" ht="15.8" customHeight="1">
      <c r="A18" s="431" t="s">
        <v>510</v>
      </c>
      <c r="B18" s="430"/>
      <c r="C18" s="477">
        <v>1</v>
      </c>
      <c r="F18" s="1603"/>
      <c r="H18" s="1603"/>
      <c r="Z18" s="445">
        <f>IF((C22&lt;1),1,2)</f>
        <v>1</v>
      </c>
    </row>
    <row r="19" spans="1:26" ht="15.8" customHeight="1" thickBot="1">
      <c r="A19" s="619" t="s">
        <v>452</v>
      </c>
      <c r="B19" s="430"/>
      <c r="C19" s="477">
        <v>1</v>
      </c>
    </row>
    <row r="20" spans="1:26" ht="15.8" customHeight="1">
      <c r="A20" s="433" t="s">
        <v>669</v>
      </c>
      <c r="B20" s="432" t="s">
        <v>1110</v>
      </c>
      <c r="C20" s="396">
        <f>C12*C13/C14*C16*C18*C19</f>
        <v>25.384615384615383</v>
      </c>
      <c r="G20" s="1616">
        <f>MAX(F17,H17)</f>
        <v>1.2601666301755032</v>
      </c>
      <c r="H20" s="1618" t="s">
        <v>488</v>
      </c>
      <c r="I20" s="390"/>
      <c r="J20" s="374"/>
      <c r="K20" s="391"/>
    </row>
    <row r="21" spans="1:26" ht="15.8" customHeight="1" thickBot="1">
      <c r="A21" s="433" t="s">
        <v>670</v>
      </c>
      <c r="B21" s="432" t="s">
        <v>1110</v>
      </c>
      <c r="C21" s="396">
        <f>C12*C13/C14*C17</f>
        <v>25.384615384615383</v>
      </c>
      <c r="G21" s="1617"/>
      <c r="H21" s="1619"/>
    </row>
    <row r="22" spans="1:26" ht="15.8" customHeight="1">
      <c r="A22" s="434" t="s">
        <v>394</v>
      </c>
      <c r="B22" s="435"/>
      <c r="C22" s="477">
        <v>0.12</v>
      </c>
    </row>
    <row r="23" spans="1:26" ht="17">
      <c r="A23" s="433" t="s">
        <v>671</v>
      </c>
      <c r="B23" s="432" t="s">
        <v>1110</v>
      </c>
      <c r="C23" s="396">
        <f>C11/C14*C13*C22</f>
        <v>2.3353846153846156</v>
      </c>
      <c r="F23" s="447"/>
      <c r="G23" s="447"/>
      <c r="H23" s="447"/>
      <c r="I23" s="447"/>
      <c r="J23" s="447"/>
    </row>
    <row r="25" spans="1:26">
      <c r="B25" s="1"/>
    </row>
    <row r="26" spans="1:26">
      <c r="B26" s="1"/>
    </row>
    <row r="27" spans="1:26">
      <c r="B27" s="1"/>
    </row>
    <row r="28" spans="1:26">
      <c r="B28" s="1"/>
    </row>
  </sheetData>
  <mergeCells count="9">
    <mergeCell ref="H4:J4"/>
    <mergeCell ref="A4:A5"/>
    <mergeCell ref="B4:B5"/>
    <mergeCell ref="A6:A7"/>
    <mergeCell ref="B6:B7"/>
    <mergeCell ref="G20:G21"/>
    <mergeCell ref="H20:H21"/>
    <mergeCell ref="F17:F18"/>
    <mergeCell ref="H17:H18"/>
  </mergeCells>
  <phoneticPr fontId="2" type="noConversion"/>
  <hyperlinks>
    <hyperlink ref="H4" location="MENU!A1" display="RETOUR MENU"/>
    <hyperlink ref="H4:J4" location="'M2'!A1" display="RETOUR MENU"/>
    <hyperlink ref="A16" location="'3'!A1" display="kh"/>
    <hyperlink ref="A22" location="'5'!A1" display="kcy"/>
    <hyperlink ref="A17" location="'3'!A1" display="kh"/>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oleObjects>
    <mc:AlternateContent xmlns:mc="http://schemas.openxmlformats.org/markup-compatibility/2006">
      <mc:Choice Requires="x14">
        <oleObject progId="Equation.3" shapeId="35841" r:id="rId4">
          <objectPr defaultSize="0" autoPict="0" r:id="rId5">
            <anchor moveWithCells="1" sizeWithCells="1">
              <from>
                <xdr:col>4</xdr:col>
                <xdr:colOff>198408</xdr:colOff>
                <xdr:row>3</xdr:row>
                <xdr:rowOff>189781</xdr:rowOff>
              </from>
              <to>
                <xdr:col>5</xdr:col>
                <xdr:colOff>370936</xdr:colOff>
                <xdr:row>6</xdr:row>
                <xdr:rowOff>129396</xdr:rowOff>
              </to>
            </anchor>
          </objectPr>
        </oleObject>
      </mc:Choice>
      <mc:Fallback>
        <oleObject progId="Equation.3" shapeId="35841" r:id="rId4"/>
      </mc:Fallback>
    </mc:AlternateContent>
    <mc:AlternateContent xmlns:mc="http://schemas.openxmlformats.org/markup-compatibility/2006">
      <mc:Choice Requires="x14">
        <oleObject progId="Equation.3" shapeId="35862" r:id="rId6">
          <objectPr defaultSize="0" autoPict="0" r:id="rId7">
            <anchor moveWithCells="1" sizeWithCells="1">
              <from>
                <xdr:col>4</xdr:col>
                <xdr:colOff>155275</xdr:colOff>
                <xdr:row>7</xdr:row>
                <xdr:rowOff>60385</xdr:rowOff>
              </from>
              <to>
                <xdr:col>5</xdr:col>
                <xdr:colOff>431321</xdr:colOff>
                <xdr:row>9</xdr:row>
                <xdr:rowOff>103517</xdr:rowOff>
              </to>
            </anchor>
          </objectPr>
        </oleObject>
      </mc:Choice>
      <mc:Fallback>
        <oleObject progId="Equation.3" shapeId="35862" r:id="rId6"/>
      </mc:Fallback>
    </mc:AlternateContent>
    <mc:AlternateContent xmlns:mc="http://schemas.openxmlformats.org/markup-compatibility/2006">
      <mc:Choice Requires="x14">
        <oleObject progId="Equation.3" shapeId="35866" r:id="rId8">
          <objectPr defaultSize="0" r:id="rId9">
            <anchor moveWithCells="1" sizeWithCells="1">
              <from>
                <xdr:col>3</xdr:col>
                <xdr:colOff>293298</xdr:colOff>
                <xdr:row>11</xdr:row>
                <xdr:rowOff>60385</xdr:rowOff>
              </from>
              <to>
                <xdr:col>6</xdr:col>
                <xdr:colOff>759125</xdr:colOff>
                <xdr:row>14</xdr:row>
                <xdr:rowOff>60385</xdr:rowOff>
              </to>
            </anchor>
          </objectPr>
        </oleObject>
      </mc:Choice>
      <mc:Fallback>
        <oleObject progId="Equation.3" shapeId="35866" r:id="rId8"/>
      </mc:Fallback>
    </mc:AlternateContent>
    <mc:AlternateContent xmlns:mc="http://schemas.openxmlformats.org/markup-compatibility/2006">
      <mc:Choice Requires="x14">
        <oleObject progId="Equation.3" shapeId="35867" r:id="rId10">
          <objectPr defaultSize="0" autoPict="0" r:id="rId11">
            <anchor moveWithCells="1" sizeWithCells="1">
              <from>
                <xdr:col>7</xdr:col>
                <xdr:colOff>51758</xdr:colOff>
                <xdr:row>11</xdr:row>
                <xdr:rowOff>51758</xdr:rowOff>
              </from>
              <to>
                <xdr:col>12</xdr:col>
                <xdr:colOff>8626</xdr:colOff>
                <xdr:row>14</xdr:row>
                <xdr:rowOff>60385</xdr:rowOff>
              </to>
            </anchor>
          </objectPr>
        </oleObject>
      </mc:Choice>
      <mc:Fallback>
        <oleObject progId="Equation.3" shapeId="35867" r:id="rId10"/>
      </mc:Fallback>
    </mc:AlternateContent>
    <mc:AlternateContent xmlns:mc="http://schemas.openxmlformats.org/markup-compatibility/2006">
      <mc:Choice Requires="x14">
        <oleObject progId="Equation.3" shapeId="35870" r:id="rId12">
          <objectPr defaultSize="0" autoPict="0" r:id="rId13">
            <anchor moveWithCells="1" sizeWithCells="1">
              <from>
                <xdr:col>3</xdr:col>
                <xdr:colOff>215660</xdr:colOff>
                <xdr:row>20</xdr:row>
                <xdr:rowOff>17253</xdr:rowOff>
              </from>
              <to>
                <xdr:col>5</xdr:col>
                <xdr:colOff>508958</xdr:colOff>
                <xdr:row>22</xdr:row>
                <xdr:rowOff>77638</xdr:rowOff>
              </to>
            </anchor>
          </objectPr>
        </oleObject>
      </mc:Choice>
      <mc:Fallback>
        <oleObject progId="Equation.3" shapeId="35870" r:id="rId12"/>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26"/>
  <sheetViews>
    <sheetView workbookViewId="0">
      <selection activeCell="B19" sqref="B19:C19"/>
    </sheetView>
  </sheetViews>
  <sheetFormatPr baseColWidth="10" defaultRowHeight="12.9"/>
  <cols>
    <col min="1" max="1" width="8.375" customWidth="1"/>
    <col min="2" max="2" width="12.25" customWidth="1"/>
    <col min="3" max="3" width="102.25" customWidth="1"/>
  </cols>
  <sheetData>
    <row r="1" spans="2:4" s="117" customFormat="1" ht="27" customHeight="1">
      <c r="B1" s="1261" t="s">
        <v>868</v>
      </c>
      <c r="C1" s="1249"/>
    </row>
    <row r="2" spans="2:4" s="117" customFormat="1" ht="12.1" customHeight="1"/>
    <row r="3" spans="2:4" s="117" customFormat="1" ht="18.7" customHeight="1">
      <c r="B3" s="1262" t="s">
        <v>696</v>
      </c>
      <c r="C3" s="1262"/>
    </row>
    <row r="4" spans="2:4" s="351" customFormat="1" ht="15.8" customHeight="1">
      <c r="B4" s="655"/>
      <c r="C4" s="916" t="s">
        <v>874</v>
      </c>
      <c r="D4" s="914"/>
    </row>
    <row r="5" spans="2:4" s="351" customFormat="1" ht="15.8" customHeight="1">
      <c r="B5" s="655"/>
      <c r="C5" s="916" t="s">
        <v>873</v>
      </c>
      <c r="D5" s="910"/>
    </row>
    <row r="6" spans="2:4" s="351" customFormat="1" ht="15.8" customHeight="1">
      <c r="B6" s="655"/>
      <c r="C6" s="916" t="s">
        <v>875</v>
      </c>
      <c r="D6" s="910"/>
    </row>
    <row r="7" spans="2:4" s="351" customFormat="1" ht="15.8" customHeight="1">
      <c r="B7" s="410"/>
      <c r="C7" s="656" t="s">
        <v>876</v>
      </c>
      <c r="D7" s="910"/>
    </row>
    <row r="8" spans="2:4" s="117" customFormat="1" ht="18.7" customHeight="1">
      <c r="B8" s="657"/>
      <c r="C8" s="920" t="s">
        <v>877</v>
      </c>
      <c r="D8" s="911"/>
    </row>
    <row r="9" spans="2:4">
      <c r="D9" s="912"/>
    </row>
    <row r="10" spans="2:4" s="117" customFormat="1" ht="18.7" customHeight="1">
      <c r="B10" s="1263" t="s">
        <v>697</v>
      </c>
      <c r="C10" s="1263"/>
      <c r="D10" s="911"/>
    </row>
    <row r="11" spans="2:4" s="351" customFormat="1" ht="15.8" customHeight="1">
      <c r="B11" s="420"/>
      <c r="C11" s="919" t="s">
        <v>698</v>
      </c>
      <c r="D11" s="917"/>
    </row>
    <row r="12" spans="2:4" s="351" customFormat="1" ht="15.8" customHeight="1">
      <c r="B12" s="413"/>
      <c r="C12" s="918" t="s">
        <v>699</v>
      </c>
      <c r="D12" s="917"/>
    </row>
    <row r="13" spans="2:4" s="351" customFormat="1" ht="15.8" customHeight="1">
      <c r="B13" s="414"/>
      <c r="C13" s="658"/>
      <c r="D13" s="910"/>
    </row>
    <row r="14" spans="2:4" s="351" customFormat="1" ht="15.8" customHeight="1">
      <c r="B14" s="413"/>
      <c r="C14" s="658"/>
      <c r="D14" s="910"/>
    </row>
    <row r="15" spans="2:4" s="351" customFormat="1" ht="15.8" customHeight="1">
      <c r="B15" s="415"/>
      <c r="C15" s="659"/>
      <c r="D15" s="910"/>
    </row>
    <row r="16" spans="2:4" s="351" customFormat="1" ht="15.8" customHeight="1">
      <c r="B16" s="415"/>
      <c r="C16" s="419"/>
      <c r="D16" s="910"/>
    </row>
    <row r="17" spans="2:4" s="352" customFormat="1" ht="15.8" customHeight="1">
      <c r="B17" s="349"/>
      <c r="C17" s="350"/>
      <c r="D17" s="913"/>
    </row>
    <row r="18" spans="2:4" ht="9" customHeight="1">
      <c r="C18" s="175"/>
      <c r="D18" s="344"/>
    </row>
    <row r="19" spans="2:4" ht="17.350000000000001" customHeight="1">
      <c r="B19" s="1264" t="s">
        <v>8</v>
      </c>
      <c r="C19" s="1265"/>
    </row>
    <row r="20" spans="2:4" s="287" customFormat="1" ht="9.6999999999999993" customHeight="1">
      <c r="C20" s="341"/>
    </row>
    <row r="21" spans="2:4" s="287" customFormat="1" ht="17.350000000000001" customHeight="1">
      <c r="B21" s="660" t="s">
        <v>700</v>
      </c>
      <c r="C21" s="341"/>
    </row>
    <row r="22" spans="2:4" s="287" customFormat="1" ht="17.350000000000001" customHeight="1">
      <c r="C22" s="341"/>
    </row>
    <row r="26" spans="2:4" ht="15.65">
      <c r="B26" s="1250" t="s">
        <v>98</v>
      </c>
      <c r="C26" s="1251"/>
    </row>
  </sheetData>
  <mergeCells count="5">
    <mergeCell ref="B26:C26"/>
    <mergeCell ref="B1:C1"/>
    <mergeCell ref="B3:C3"/>
    <mergeCell ref="B10:C10"/>
    <mergeCell ref="B19:C19"/>
  </mergeCells>
  <phoneticPr fontId="2" type="noConversion"/>
  <hyperlinks>
    <hyperlink ref="C7" location="'4-7'!A1" display="(Calcul automatique combinaisons) Toitures avec charges d'exploitation (catégorie I) (*)"/>
    <hyperlink ref="C4" location="'4-1'!A1" display="(Calcul automatique combinaisons) Barres isolées "/>
    <hyperlink ref="C11" location="'4-5'!A1" display="Neige EC1 1.3 (à utiliser BTS SCBH)"/>
    <hyperlink ref="C8" location="'4-4'!A1" display="Combinaisons EC5 (liste réglementaire adaptée au BTS SCBH)"/>
    <hyperlink ref="C12" location="'4-6'!A1" display="Vent V65 x 1,2 (aide au calcul)"/>
    <hyperlink ref="C5:C6" location="'barres isolées'!A1" display="Barres isolées (G et Q), (G et S), (G et W), (G,S et W)"/>
    <hyperlink ref="C5" location="'4-2'!A1" display="(Calcul automatique combinaisons) Structures symétriques"/>
    <hyperlink ref="C6" location="'4-3'!A1" display="(Calcul automatique combinaisons) Structures dissymétriques"/>
    <hyperlink ref="B19:C19" location="MP!A1" display="RETOUR MENU PRINCIPAL"/>
  </hyperlinks>
  <pageMargins left="0.78740157499999996" right="0.78740157499999996" top="0.984251969" bottom="0.984251969" header="0.4921259845" footer="0.4921259845"/>
  <pageSetup paperSize="9" orientation="portrait" horizontalDpi="4294967293" r:id="rId1"/>
  <headerFooter alignWithMargins="0"/>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
  <sheetViews>
    <sheetView workbookViewId="0">
      <selection activeCell="H4" sqref="H4:J4"/>
    </sheetView>
  </sheetViews>
  <sheetFormatPr baseColWidth="10" defaultRowHeight="12.9"/>
  <cols>
    <col min="1" max="1" width="27.375" customWidth="1"/>
    <col min="2" max="2" width="7.875" customWidth="1"/>
    <col min="3" max="3" width="15" customWidth="1"/>
    <col min="4" max="4" width="15.625" customWidth="1"/>
    <col min="6" max="6" width="11.125" customWidth="1"/>
    <col min="7" max="7" width="12.25" customWidth="1"/>
    <col min="8" max="8" width="10.625" customWidth="1"/>
    <col min="9" max="9" width="9.375" customWidth="1"/>
    <col min="10" max="10" width="5.25" customWidth="1"/>
    <col min="11" max="11" width="8.125" customWidth="1"/>
  </cols>
  <sheetData>
    <row r="1" spans="1:26" ht="19.55" customHeight="1">
      <c r="A1" s="365" t="s">
        <v>1277</v>
      </c>
      <c r="B1" s="285"/>
      <c r="C1" s="284"/>
      <c r="D1" s="284"/>
      <c r="E1" s="284"/>
      <c r="F1" s="285"/>
    </row>
    <row r="2" spans="1:26" s="381" customFormat="1" ht="15.8" customHeight="1">
      <c r="A2" s="3" t="s">
        <v>430</v>
      </c>
      <c r="B2" s="31" t="s">
        <v>969</v>
      </c>
      <c r="C2" s="471">
        <v>50</v>
      </c>
      <c r="D2" s="385"/>
      <c r="E2" s="385"/>
      <c r="F2" s="384"/>
    </row>
    <row r="3" spans="1:26" s="381" customFormat="1" ht="15.8" customHeight="1" thickBot="1">
      <c r="A3" s="3" t="s">
        <v>429</v>
      </c>
      <c r="B3" s="31" t="s">
        <v>969</v>
      </c>
      <c r="C3" s="472">
        <v>1800</v>
      </c>
      <c r="D3" s="385"/>
      <c r="E3" s="385"/>
      <c r="F3" s="384"/>
    </row>
    <row r="4" spans="1:26" ht="15.8" customHeight="1" thickBot="1">
      <c r="A4" s="1620" t="s">
        <v>431</v>
      </c>
      <c r="B4" s="1612" t="s">
        <v>489</v>
      </c>
      <c r="C4" s="274" t="s">
        <v>481</v>
      </c>
      <c r="D4" s="1226"/>
      <c r="E4" s="387"/>
      <c r="F4" s="386"/>
      <c r="G4" s="275"/>
      <c r="H4" s="1417" t="s">
        <v>1142</v>
      </c>
      <c r="I4" s="1418"/>
      <c r="J4" s="1419"/>
      <c r="K4" s="275"/>
      <c r="L4" s="275"/>
    </row>
    <row r="5" spans="1:26" ht="14.3">
      <c r="A5" s="1621"/>
      <c r="B5" s="1613"/>
      <c r="C5" s="480">
        <v>1.2</v>
      </c>
      <c r="D5" s="1227"/>
      <c r="I5" s="76" t="s">
        <v>1084</v>
      </c>
      <c r="J5" s="176"/>
    </row>
    <row r="6" spans="1:26" ht="14.95">
      <c r="A6" s="1622" t="s">
        <v>432</v>
      </c>
      <c r="B6" s="1614" t="s">
        <v>1110</v>
      </c>
      <c r="C6" s="388" t="s">
        <v>486</v>
      </c>
      <c r="D6" s="1228"/>
      <c r="I6" s="76" t="s">
        <v>1085</v>
      </c>
      <c r="J6" s="9"/>
    </row>
    <row r="7" spans="1:26" ht="13.6">
      <c r="A7" s="1623"/>
      <c r="B7" s="1615"/>
      <c r="C7" s="389">
        <f>+Z7</f>
        <v>1.5999999999999999</v>
      </c>
      <c r="D7" s="426"/>
      <c r="Z7" s="77">
        <f>(C5/((C2^2*C3)/6))*1000000</f>
        <v>1.5999999999999999</v>
      </c>
    </row>
    <row r="8" spans="1:26" ht="18" customHeight="1">
      <c r="A8" s="427" t="s">
        <v>509</v>
      </c>
      <c r="B8" s="428" t="s">
        <v>513</v>
      </c>
      <c r="C8" s="480">
        <v>8.64</v>
      </c>
      <c r="D8" s="426"/>
      <c r="Z8" s="77"/>
    </row>
    <row r="9" spans="1:26" ht="17.350000000000001" customHeight="1">
      <c r="A9" s="369" t="s">
        <v>443</v>
      </c>
      <c r="B9" s="262" t="s">
        <v>1110</v>
      </c>
      <c r="C9" s="389">
        <f>C8*1000/C2/C3</f>
        <v>9.6000000000000002E-2</v>
      </c>
      <c r="D9" s="381"/>
      <c r="G9" s="1214" t="s">
        <v>1285</v>
      </c>
      <c r="H9" s="1215"/>
      <c r="I9" s="1216"/>
      <c r="J9" s="1215"/>
      <c r="K9" s="1215"/>
      <c r="L9" s="1217"/>
      <c r="Z9" s="77">
        <f>(D5/(((C3^2)*C2)/6))*1000000</f>
        <v>0</v>
      </c>
    </row>
    <row r="10" spans="1:26" ht="8.35" customHeight="1">
      <c r="A10" s="820"/>
      <c r="B10" s="287"/>
      <c r="C10" s="762"/>
      <c r="I10" s="135"/>
      <c r="J10" s="394"/>
      <c r="K10" s="394"/>
      <c r="Z10" s="395"/>
    </row>
    <row r="11" spans="1:26" ht="17.350000000000001" customHeight="1">
      <c r="A11" s="367" t="s">
        <v>441</v>
      </c>
      <c r="B11" s="31" t="s">
        <v>436</v>
      </c>
      <c r="C11" s="474">
        <v>19</v>
      </c>
      <c r="I11" s="1230" t="s">
        <v>1290</v>
      </c>
      <c r="J11" s="1231"/>
      <c r="K11" s="1232"/>
      <c r="L11" s="1233" t="str">
        <f>IF(Z18=1,"&gt; 0,3","&lt; 0,3")</f>
        <v>&gt; 0,3</v>
      </c>
    </row>
    <row r="12" spans="1:26" ht="17.350000000000001" customHeight="1">
      <c r="A12" s="367" t="s">
        <v>433</v>
      </c>
      <c r="B12" s="31" t="s">
        <v>436</v>
      </c>
      <c r="C12" s="474">
        <v>26</v>
      </c>
      <c r="I12" s="392"/>
      <c r="J12" s="183"/>
      <c r="K12" s="393"/>
    </row>
    <row r="13" spans="1:26" ht="17.350000000000001" customHeight="1">
      <c r="A13" s="367" t="s">
        <v>434</v>
      </c>
      <c r="B13" s="31"/>
      <c r="C13" s="475">
        <v>1.1000000000000001</v>
      </c>
    </row>
    <row r="14" spans="1:26" ht="17.350000000000001" customHeight="1">
      <c r="A14" s="368" t="s">
        <v>435</v>
      </c>
      <c r="B14" s="31"/>
      <c r="C14" s="475">
        <v>1.3</v>
      </c>
    </row>
    <row r="15" spans="1:26" ht="17.350000000000001" customHeight="1">
      <c r="A15" s="399"/>
      <c r="B15" s="31"/>
      <c r="C15" s="476"/>
      <c r="I15" s="390"/>
      <c r="J15" s="275"/>
      <c r="K15" s="391"/>
    </row>
    <row r="16" spans="1:26" ht="15.8" customHeight="1">
      <c r="A16" s="429" t="s">
        <v>482</v>
      </c>
      <c r="B16" s="430" t="s">
        <v>484</v>
      </c>
      <c r="C16" s="477">
        <v>1</v>
      </c>
      <c r="I16" s="390"/>
      <c r="J16" s="275"/>
      <c r="K16" s="391"/>
    </row>
    <row r="17" spans="1:26" ht="15.8" customHeight="1">
      <c r="A17" s="1223"/>
      <c r="B17" s="430"/>
      <c r="C17" s="477"/>
      <c r="F17" s="1602">
        <f>((C9/C23)^(Z18))+(C7/C20)</f>
        <v>0.19215311004784688</v>
      </c>
      <c r="H17" s="1222"/>
      <c r="I17" s="390"/>
      <c r="K17" s="391"/>
    </row>
    <row r="18" spans="1:26" ht="15.8" customHeight="1">
      <c r="A18" s="431"/>
      <c r="B18" s="430"/>
      <c r="C18" s="477"/>
      <c r="F18" s="1603"/>
      <c r="H18" s="1222"/>
      <c r="Z18" s="445">
        <f>IF((C22&lt;1),1,2)</f>
        <v>1</v>
      </c>
    </row>
    <row r="19" spans="1:26" ht="15.8" customHeight="1" thickBot="1">
      <c r="A19" s="1229" t="s">
        <v>452</v>
      </c>
      <c r="B19" s="430"/>
      <c r="C19" s="477">
        <v>1</v>
      </c>
    </row>
    <row r="20" spans="1:26" ht="15.8" customHeight="1">
      <c r="A20" s="433" t="s">
        <v>669</v>
      </c>
      <c r="B20" s="432" t="s">
        <v>1110</v>
      </c>
      <c r="C20" s="396">
        <f>C12*C13/C14*C16*C19</f>
        <v>22</v>
      </c>
      <c r="G20" s="1616">
        <f>MAX(F17,H17)</f>
        <v>0.19215311004784688</v>
      </c>
      <c r="H20" s="1618" t="s">
        <v>488</v>
      </c>
      <c r="I20" s="390"/>
      <c r="J20" s="374"/>
      <c r="K20" s="391"/>
    </row>
    <row r="21" spans="1:26" ht="15.8" customHeight="1" thickBot="1">
      <c r="A21" s="366"/>
      <c r="B21" s="430"/>
      <c r="C21" s="1224"/>
      <c r="G21" s="1617"/>
      <c r="H21" s="1619"/>
    </row>
    <row r="22" spans="1:26" ht="15.8" customHeight="1">
      <c r="A22" s="1225" t="s">
        <v>394</v>
      </c>
      <c r="B22" s="435"/>
      <c r="C22" s="477">
        <v>0.05</v>
      </c>
    </row>
    <row r="23" spans="1:26" ht="17">
      <c r="A23" s="433" t="s">
        <v>671</v>
      </c>
      <c r="B23" s="432" t="s">
        <v>1110</v>
      </c>
      <c r="C23" s="396">
        <f>C11/C14*C13*C22</f>
        <v>0.80384615384615388</v>
      </c>
      <c r="F23" s="447"/>
      <c r="G23" s="447"/>
      <c r="H23" s="447"/>
      <c r="I23" s="447"/>
      <c r="J23" s="447"/>
    </row>
    <row r="25" spans="1:26">
      <c r="B25" s="1"/>
    </row>
    <row r="26" spans="1:26">
      <c r="B26" s="1"/>
    </row>
    <row r="27" spans="1:26">
      <c r="B27" s="1"/>
    </row>
    <row r="28" spans="1:26">
      <c r="B28" s="1"/>
    </row>
  </sheetData>
  <mergeCells count="8">
    <mergeCell ref="F17:F18"/>
    <mergeCell ref="G20:G21"/>
    <mergeCell ref="H20:H21"/>
    <mergeCell ref="A4:A5"/>
    <mergeCell ref="B4:B5"/>
    <mergeCell ref="H4:J4"/>
    <mergeCell ref="A6:A7"/>
    <mergeCell ref="B6:B7"/>
  </mergeCells>
  <phoneticPr fontId="2" type="noConversion"/>
  <hyperlinks>
    <hyperlink ref="H4" location="MENU!A1" display="RETOUR MENU"/>
    <hyperlink ref="H4:J4" location="'M2'!A1" display="RETOUR MENU"/>
    <hyperlink ref="A16" location="'3'!A1" display="kh"/>
    <hyperlink ref="A22" location="'5'!A1" display="kcy"/>
  </hyperlinks>
  <pageMargins left="0.78740157499999996" right="0.78740157499999996" top="0.984251969" bottom="0.984251969" header="0.4921259845" footer="0.4921259845"/>
  <pageSetup paperSize="9" orientation="portrait" r:id="rId1"/>
  <headerFooter alignWithMargins="0"/>
  <drawing r:id="rId2"/>
  <legacyDrawing r:id="rId3"/>
  <oleObjects>
    <mc:AlternateContent xmlns:mc="http://schemas.openxmlformats.org/markup-compatibility/2006">
      <mc:Choice Requires="x14">
        <oleObject progId="Equation.3" shapeId="75777" r:id="rId4">
          <objectPr defaultSize="0" autoPict="0" r:id="rId5">
            <anchor moveWithCells="1" sizeWithCells="1">
              <from>
                <xdr:col>4</xdr:col>
                <xdr:colOff>198408</xdr:colOff>
                <xdr:row>3</xdr:row>
                <xdr:rowOff>189781</xdr:rowOff>
              </from>
              <to>
                <xdr:col>5</xdr:col>
                <xdr:colOff>370936</xdr:colOff>
                <xdr:row>6</xdr:row>
                <xdr:rowOff>129396</xdr:rowOff>
              </to>
            </anchor>
          </objectPr>
        </oleObject>
      </mc:Choice>
      <mc:Fallback>
        <oleObject progId="Equation.3" shapeId="75777" r:id="rId4"/>
      </mc:Fallback>
    </mc:AlternateContent>
    <mc:AlternateContent xmlns:mc="http://schemas.openxmlformats.org/markup-compatibility/2006">
      <mc:Choice Requires="x14">
        <oleObject progId="Equation.3" shapeId="75784" r:id="rId6">
          <objectPr defaultSize="0" autoPict="0" r:id="rId7">
            <anchor moveWithCells="1" sizeWithCells="1">
              <from>
                <xdr:col>4</xdr:col>
                <xdr:colOff>155275</xdr:colOff>
                <xdr:row>7</xdr:row>
                <xdr:rowOff>60385</xdr:rowOff>
              </from>
              <to>
                <xdr:col>5</xdr:col>
                <xdr:colOff>431321</xdr:colOff>
                <xdr:row>9</xdr:row>
                <xdr:rowOff>103517</xdr:rowOff>
              </to>
            </anchor>
          </objectPr>
        </oleObject>
      </mc:Choice>
      <mc:Fallback>
        <oleObject progId="Equation.3" shapeId="75784" r:id="rId6"/>
      </mc:Fallback>
    </mc:AlternateContent>
    <mc:AlternateContent xmlns:mc="http://schemas.openxmlformats.org/markup-compatibility/2006">
      <mc:Choice Requires="x14">
        <oleObject progId="Equation.3" shapeId="75785" r:id="rId8">
          <objectPr defaultSize="0" autoPict="0" r:id="rId9">
            <anchor moveWithCells="1" sizeWithCells="1">
              <from>
                <xdr:col>3</xdr:col>
                <xdr:colOff>215660</xdr:colOff>
                <xdr:row>20</xdr:row>
                <xdr:rowOff>17253</xdr:rowOff>
              </from>
              <to>
                <xdr:col>5</xdr:col>
                <xdr:colOff>508958</xdr:colOff>
                <xdr:row>22</xdr:row>
                <xdr:rowOff>77638</xdr:rowOff>
              </to>
            </anchor>
          </objectPr>
        </oleObject>
      </mc:Choice>
      <mc:Fallback>
        <oleObject progId="Equation.3" shapeId="75785" r:id="rId8"/>
      </mc:Fallback>
    </mc:AlternateContent>
    <mc:AlternateContent xmlns:mc="http://schemas.openxmlformats.org/markup-compatibility/2006">
      <mc:Choice Requires="x14">
        <oleObject progId="Equation.3" shapeId="75789" r:id="rId10">
          <objectPr defaultSize="0" r:id="rId11">
            <anchor moveWithCells="1" sizeWithCells="1">
              <from>
                <xdr:col>2</xdr:col>
                <xdr:colOff>284672</xdr:colOff>
                <xdr:row>51</xdr:row>
                <xdr:rowOff>51758</xdr:rowOff>
              </from>
              <to>
                <xdr:col>5</xdr:col>
                <xdr:colOff>491706</xdr:colOff>
                <xdr:row>55</xdr:row>
                <xdr:rowOff>60385</xdr:rowOff>
              </to>
            </anchor>
          </objectPr>
        </oleObject>
      </mc:Choice>
      <mc:Fallback>
        <oleObject progId="Equation.3" shapeId="75789" r:id="rId10"/>
      </mc:Fallback>
    </mc:AlternateContent>
    <mc:AlternateContent xmlns:mc="http://schemas.openxmlformats.org/markup-compatibility/2006">
      <mc:Choice Requires="x14">
        <oleObject progId="Equation.3" shapeId="75790" r:id="rId12">
          <objectPr defaultSize="0" autoPict="0" r:id="rId13">
            <anchor moveWithCells="1" sizeWithCells="1">
              <from>
                <xdr:col>6</xdr:col>
                <xdr:colOff>43132</xdr:colOff>
                <xdr:row>51</xdr:row>
                <xdr:rowOff>8626</xdr:rowOff>
              </from>
              <to>
                <xdr:col>11</xdr:col>
                <xdr:colOff>215660</xdr:colOff>
                <xdr:row>59</xdr:row>
                <xdr:rowOff>17253</xdr:rowOff>
              </to>
            </anchor>
          </objectPr>
        </oleObject>
      </mc:Choice>
      <mc:Fallback>
        <oleObject progId="Equation.3" shapeId="75790" r:id="rId12"/>
      </mc:Fallback>
    </mc:AlternateContent>
    <mc:AlternateContent xmlns:mc="http://schemas.openxmlformats.org/markup-compatibility/2006">
      <mc:Choice Requires="x14">
        <oleObject progId="Equation.3" shapeId="75792" r:id="rId14">
          <objectPr defaultSize="0" autoPict="0" r:id="rId15">
            <anchor moveWithCells="1" sizeWithCells="1">
              <from>
                <xdr:col>3</xdr:col>
                <xdr:colOff>1069675</xdr:colOff>
                <xdr:row>11</xdr:row>
                <xdr:rowOff>25879</xdr:rowOff>
              </from>
              <to>
                <xdr:col>6</xdr:col>
                <xdr:colOff>612475</xdr:colOff>
                <xdr:row>15</xdr:row>
                <xdr:rowOff>0</xdr:rowOff>
              </to>
            </anchor>
          </objectPr>
        </oleObject>
      </mc:Choice>
      <mc:Fallback>
        <oleObject progId="Equation.3" shapeId="75792" r:id="rId14"/>
      </mc:Fallback>
    </mc:AlternateContent>
  </oleObject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1"/>
  <sheetViews>
    <sheetView workbookViewId="0">
      <selection activeCell="H3" sqref="H3:J3"/>
    </sheetView>
  </sheetViews>
  <sheetFormatPr baseColWidth="10" defaultRowHeight="12.9"/>
  <cols>
    <col min="1" max="1" width="27.375" customWidth="1"/>
    <col min="2" max="2" width="7.875" customWidth="1"/>
    <col min="3" max="3" width="15" customWidth="1"/>
    <col min="4" max="4" width="15.625" customWidth="1"/>
    <col min="6" max="6" width="11.125" customWidth="1"/>
    <col min="7" max="7" width="12.25" customWidth="1"/>
    <col min="8" max="8" width="10.625" customWidth="1"/>
    <col min="9" max="9" width="9.375" customWidth="1"/>
    <col min="10" max="10" width="5.25" customWidth="1"/>
    <col min="11" max="11" width="8.125" customWidth="1"/>
  </cols>
  <sheetData>
    <row r="1" spans="1:26" ht="19.55" customHeight="1">
      <c r="A1" s="365" t="s">
        <v>1294</v>
      </c>
      <c r="B1" s="285"/>
      <c r="C1" s="284"/>
      <c r="D1" s="284"/>
      <c r="E1" s="284"/>
      <c r="F1" s="285"/>
    </row>
    <row r="2" spans="1:26" s="381" customFormat="1" ht="15.8" customHeight="1" thickBot="1">
      <c r="A2" s="3" t="s">
        <v>430</v>
      </c>
      <c r="B2" s="31" t="s">
        <v>969</v>
      </c>
      <c r="C2" s="471">
        <v>220</v>
      </c>
      <c r="D2" s="385"/>
      <c r="E2" s="385"/>
      <c r="F2" s="384"/>
    </row>
    <row r="3" spans="1:26" s="381" customFormat="1" ht="15.8" customHeight="1" thickBot="1">
      <c r="A3" s="3" t="s">
        <v>429</v>
      </c>
      <c r="B3" s="31" t="s">
        <v>969</v>
      </c>
      <c r="C3" s="472">
        <v>160</v>
      </c>
      <c r="D3" s="385"/>
      <c r="E3" s="385"/>
      <c r="F3" s="384"/>
      <c r="H3" s="1417" t="s">
        <v>1142</v>
      </c>
      <c r="I3" s="1418"/>
      <c r="J3" s="1419"/>
    </row>
    <row r="4" spans="1:26" ht="15.8" customHeight="1">
      <c r="A4" s="1620" t="s">
        <v>431</v>
      </c>
      <c r="B4" s="1612" t="s">
        <v>489</v>
      </c>
      <c r="C4" s="274" t="s">
        <v>481</v>
      </c>
      <c r="D4" s="1226"/>
      <c r="E4" s="387"/>
      <c r="F4" s="386"/>
      <c r="G4" s="275"/>
      <c r="H4" s="275"/>
      <c r="I4" s="275"/>
      <c r="J4" s="275"/>
      <c r="K4" s="275"/>
      <c r="L4" s="275"/>
    </row>
    <row r="5" spans="1:26" ht="14.3">
      <c r="A5" s="1621"/>
      <c r="B5" s="1613"/>
      <c r="C5" s="479">
        <v>13.4</v>
      </c>
      <c r="D5" s="1227"/>
      <c r="I5" s="76" t="s">
        <v>1084</v>
      </c>
      <c r="J5" s="176"/>
    </row>
    <row r="6" spans="1:26" ht="14.95">
      <c r="A6" s="1622" t="s">
        <v>432</v>
      </c>
      <c r="B6" s="1614" t="s">
        <v>1110</v>
      </c>
      <c r="C6" s="388" t="s">
        <v>486</v>
      </c>
      <c r="D6" s="1228"/>
      <c r="I6" s="76" t="s">
        <v>1085</v>
      </c>
      <c r="J6" s="9"/>
    </row>
    <row r="7" spans="1:26" ht="13.6">
      <c r="A7" s="1623"/>
      <c r="B7" s="1615"/>
      <c r="C7" s="389">
        <f>+Z7</f>
        <v>10.382231404958677</v>
      </c>
      <c r="D7" s="426"/>
      <c r="Z7" s="77">
        <f>(C5/((C2^2*C3)/6))*1000000</f>
        <v>10.382231404958677</v>
      </c>
    </row>
    <row r="8" spans="1:26" ht="18" customHeight="1">
      <c r="A8" s="427" t="s">
        <v>562</v>
      </c>
      <c r="B8" s="428" t="s">
        <v>513</v>
      </c>
      <c r="C8" s="480">
        <v>35</v>
      </c>
      <c r="D8" s="426"/>
      <c r="Z8" s="77"/>
    </row>
    <row r="9" spans="1:26" ht="17.350000000000001" customHeight="1">
      <c r="A9" s="369" t="s">
        <v>447</v>
      </c>
      <c r="B9" s="262" t="s">
        <v>1110</v>
      </c>
      <c r="C9" s="77">
        <f>C8*1000/C2/C3</f>
        <v>0.99431818181818188</v>
      </c>
      <c r="D9" s="381"/>
      <c r="G9" t="s">
        <v>359</v>
      </c>
      <c r="Z9" s="77">
        <f>(D5/(((C3^2)*C2)/6))*1000000</f>
        <v>0</v>
      </c>
    </row>
    <row r="10" spans="1:26" ht="8.35" customHeight="1">
      <c r="A10" s="820"/>
      <c r="B10" s="287"/>
      <c r="C10" s="762"/>
      <c r="I10" s="135"/>
      <c r="J10" s="394"/>
      <c r="K10" s="394"/>
      <c r="Z10" s="395"/>
    </row>
    <row r="11" spans="1:26" ht="17.350000000000001" customHeight="1">
      <c r="A11" s="367" t="s">
        <v>516</v>
      </c>
      <c r="B11" s="31" t="s">
        <v>436</v>
      </c>
      <c r="C11" s="474">
        <v>20</v>
      </c>
    </row>
    <row r="12" spans="1:26" ht="17.350000000000001" customHeight="1">
      <c r="A12" s="367" t="s">
        <v>433</v>
      </c>
      <c r="B12" s="31" t="s">
        <v>436</v>
      </c>
      <c r="C12" s="474">
        <v>22</v>
      </c>
      <c r="I12" s="392"/>
      <c r="J12" s="183"/>
      <c r="K12" s="393"/>
    </row>
    <row r="13" spans="1:26" ht="17.350000000000001" customHeight="1">
      <c r="A13" s="367" t="s">
        <v>434</v>
      </c>
      <c r="B13" s="31"/>
      <c r="C13" s="475">
        <v>1.1000000000000001</v>
      </c>
    </row>
    <row r="14" spans="1:26" ht="17.350000000000001" customHeight="1">
      <c r="A14" s="368" t="s">
        <v>435</v>
      </c>
      <c r="B14" s="31"/>
      <c r="C14" s="475">
        <v>1.3</v>
      </c>
    </row>
    <row r="15" spans="1:26" ht="17.350000000000001" customHeight="1">
      <c r="A15" s="399"/>
      <c r="B15" s="31"/>
      <c r="C15" s="476"/>
      <c r="I15" s="390"/>
      <c r="J15" s="275"/>
      <c r="K15" s="391"/>
    </row>
    <row r="16" spans="1:26" ht="15.8" customHeight="1">
      <c r="A16" s="429" t="s">
        <v>482</v>
      </c>
      <c r="B16" s="430" t="s">
        <v>484</v>
      </c>
      <c r="C16" s="477">
        <v>1</v>
      </c>
      <c r="I16" s="390"/>
      <c r="J16" s="275"/>
      <c r="K16" s="391"/>
    </row>
    <row r="17" spans="1:26" ht="15.8" customHeight="1">
      <c r="A17" s="1223"/>
      <c r="B17" s="430"/>
      <c r="C17" s="477"/>
      <c r="F17" s="1602">
        <f>((C9/C22))+(C7/C20)</f>
        <v>0.61647833993579659</v>
      </c>
      <c r="H17" s="1624"/>
      <c r="I17" s="390"/>
      <c r="K17" s="391"/>
    </row>
    <row r="18" spans="1:26" ht="15.8" customHeight="1">
      <c r="A18" s="431" t="s">
        <v>510</v>
      </c>
      <c r="B18" s="430"/>
      <c r="C18" s="477">
        <v>1</v>
      </c>
      <c r="F18" s="1603"/>
      <c r="H18" s="1624"/>
      <c r="Z18" s="445" t="e">
        <f>IF((#REF!&lt;1),1,2)</f>
        <v>#REF!</v>
      </c>
    </row>
    <row r="19" spans="1:26" ht="15.8" customHeight="1" thickBot="1">
      <c r="A19" s="1229" t="s">
        <v>452</v>
      </c>
      <c r="B19" s="430"/>
      <c r="C19" s="477">
        <v>1</v>
      </c>
    </row>
    <row r="20" spans="1:26" ht="15.8" customHeight="1">
      <c r="A20" s="433" t="s">
        <v>669</v>
      </c>
      <c r="B20" s="432" t="s">
        <v>1110</v>
      </c>
      <c r="C20" s="396">
        <f>C12*C13/C14*C16*C18*C19</f>
        <v>18.615384615384617</v>
      </c>
      <c r="G20" s="1616">
        <f>MAX(F17,H17)</f>
        <v>0.61647833993579659</v>
      </c>
      <c r="H20" s="1618" t="s">
        <v>488</v>
      </c>
      <c r="I20" s="390"/>
      <c r="J20" s="374"/>
      <c r="K20" s="391"/>
    </row>
    <row r="21" spans="1:26" ht="15.8" customHeight="1" thickBot="1">
      <c r="A21" s="366"/>
      <c r="B21" s="430"/>
      <c r="C21" s="1224"/>
      <c r="G21" s="1617"/>
      <c r="H21" s="1619"/>
    </row>
    <row r="22" spans="1:26" ht="15.8" customHeight="1">
      <c r="A22" s="433" t="s">
        <v>672</v>
      </c>
      <c r="B22" s="432" t="s">
        <v>1110</v>
      </c>
      <c r="C22" s="396">
        <f>C11/C14*C13*C16</f>
        <v>16.923076923076923</v>
      </c>
    </row>
    <row r="23" spans="1:26" ht="15.65">
      <c r="E23" s="446"/>
      <c r="F23" s="447"/>
      <c r="G23" s="447"/>
      <c r="H23" s="447"/>
      <c r="I23" s="447"/>
      <c r="J23" s="447"/>
    </row>
    <row r="25" spans="1:26">
      <c r="B25" s="1"/>
    </row>
    <row r="26" spans="1:26">
      <c r="B26" s="1"/>
    </row>
    <row r="27" spans="1:26">
      <c r="B27" s="1"/>
    </row>
    <row r="28" spans="1:26">
      <c r="B28" s="1"/>
    </row>
    <row r="31" spans="1:26">
      <c r="F31" t="s">
        <v>437</v>
      </c>
    </row>
  </sheetData>
  <mergeCells count="9">
    <mergeCell ref="F17:F18"/>
    <mergeCell ref="H17:H18"/>
    <mergeCell ref="G20:G21"/>
    <mergeCell ref="H20:H21"/>
    <mergeCell ref="H3:J3"/>
    <mergeCell ref="A4:A5"/>
    <mergeCell ref="B4:B5"/>
    <mergeCell ref="A6:A7"/>
    <mergeCell ref="B6:B7"/>
  </mergeCells>
  <phoneticPr fontId="2" type="noConversion"/>
  <hyperlinks>
    <hyperlink ref="H3" location="MENU!A1" display="RETOUR MENU"/>
    <hyperlink ref="H3:J3" location="'M2'!A1" display="RETOUR MENU"/>
    <hyperlink ref="A16" location="'3'!A1" display="kh"/>
  </hyperlinks>
  <pageMargins left="0.78740157499999996" right="0.78740157499999996" top="0.984251969" bottom="0.984251969" header="0.4921259845" footer="0.4921259845"/>
  <pageSetup paperSize="9" orientation="portrait" r:id="rId1"/>
  <headerFooter alignWithMargins="0"/>
  <drawing r:id="rId2"/>
  <legacyDrawing r:id="rId3"/>
  <oleObjects>
    <mc:AlternateContent xmlns:mc="http://schemas.openxmlformats.org/markup-compatibility/2006">
      <mc:Choice Requires="x14">
        <oleObject progId="Equation.3" shapeId="76801" r:id="rId4">
          <objectPr defaultSize="0" autoPict="0" r:id="rId5">
            <anchor moveWithCells="1" sizeWithCells="1">
              <from>
                <xdr:col>4</xdr:col>
                <xdr:colOff>163902</xdr:colOff>
                <xdr:row>4</xdr:row>
                <xdr:rowOff>25879</xdr:rowOff>
              </from>
              <to>
                <xdr:col>5</xdr:col>
                <xdr:colOff>336430</xdr:colOff>
                <xdr:row>7</xdr:row>
                <xdr:rowOff>0</xdr:rowOff>
              </to>
            </anchor>
          </objectPr>
        </oleObject>
      </mc:Choice>
      <mc:Fallback>
        <oleObject progId="Equation.3" shapeId="76801" r:id="rId4"/>
      </mc:Fallback>
    </mc:AlternateContent>
    <mc:AlternateContent xmlns:mc="http://schemas.openxmlformats.org/markup-compatibility/2006">
      <mc:Choice Requires="x14">
        <oleObject progId="Equation.3" shapeId="76808" r:id="rId6">
          <objectPr defaultSize="0" autoPict="0" r:id="rId7">
            <anchor moveWithCells="1" sizeWithCells="1">
              <from>
                <xdr:col>4</xdr:col>
                <xdr:colOff>155275</xdr:colOff>
                <xdr:row>7</xdr:row>
                <xdr:rowOff>60385</xdr:rowOff>
              </from>
              <to>
                <xdr:col>5</xdr:col>
                <xdr:colOff>431321</xdr:colOff>
                <xdr:row>9</xdr:row>
                <xdr:rowOff>103517</xdr:rowOff>
              </to>
            </anchor>
          </objectPr>
        </oleObject>
      </mc:Choice>
      <mc:Fallback>
        <oleObject progId="Equation.3" shapeId="76808" r:id="rId6"/>
      </mc:Fallback>
    </mc:AlternateContent>
    <mc:AlternateContent xmlns:mc="http://schemas.openxmlformats.org/markup-compatibility/2006">
      <mc:Choice Requires="x14">
        <oleObject progId="Equation.3" shapeId="76810" r:id="rId8">
          <objectPr defaultSize="0" autoPict="0" r:id="rId9">
            <anchor moveWithCells="1" sizeWithCells="1">
              <from>
                <xdr:col>3</xdr:col>
                <xdr:colOff>51758</xdr:colOff>
                <xdr:row>20</xdr:row>
                <xdr:rowOff>25879</xdr:rowOff>
              </from>
              <to>
                <xdr:col>5</xdr:col>
                <xdr:colOff>741872</xdr:colOff>
                <xdr:row>22</xdr:row>
                <xdr:rowOff>172528</xdr:rowOff>
              </to>
            </anchor>
          </objectPr>
        </oleObject>
      </mc:Choice>
      <mc:Fallback>
        <oleObject progId="Equation.3" shapeId="76810" r:id="rId8"/>
      </mc:Fallback>
    </mc:AlternateContent>
    <mc:AlternateContent xmlns:mc="http://schemas.openxmlformats.org/markup-compatibility/2006">
      <mc:Choice Requires="x14">
        <oleObject progId="Equation.3" shapeId="76813" r:id="rId10">
          <objectPr defaultSize="0" autoPict="0" r:id="rId11">
            <anchor moveWithCells="1" sizeWithCells="1">
              <from>
                <xdr:col>8</xdr:col>
                <xdr:colOff>94891</xdr:colOff>
                <xdr:row>19</xdr:row>
                <xdr:rowOff>155275</xdr:rowOff>
              </from>
              <to>
                <xdr:col>11</xdr:col>
                <xdr:colOff>215660</xdr:colOff>
                <xdr:row>22</xdr:row>
                <xdr:rowOff>86264</xdr:rowOff>
              </to>
            </anchor>
          </objectPr>
        </oleObject>
      </mc:Choice>
      <mc:Fallback>
        <oleObject progId="Equation.3" shapeId="76813" r:id="rId10"/>
      </mc:Fallback>
    </mc:AlternateContent>
    <mc:AlternateContent xmlns:mc="http://schemas.openxmlformats.org/markup-compatibility/2006">
      <mc:Choice Requires="x14">
        <oleObject progId="Equation.3" shapeId="76825" r:id="rId12">
          <objectPr defaultSize="0" r:id="rId13">
            <anchor moveWithCells="1" sizeWithCells="1">
              <from>
                <xdr:col>3</xdr:col>
                <xdr:colOff>828136</xdr:colOff>
                <xdr:row>10</xdr:row>
                <xdr:rowOff>198408</xdr:rowOff>
              </from>
              <to>
                <xdr:col>6</xdr:col>
                <xdr:colOff>569343</xdr:colOff>
                <xdr:row>14</xdr:row>
                <xdr:rowOff>120770</xdr:rowOff>
              </to>
            </anchor>
          </objectPr>
        </oleObject>
      </mc:Choice>
      <mc:Fallback>
        <oleObject progId="Equation.3" shapeId="76825" r:id="rId12"/>
      </mc:Fallback>
    </mc:AlternateContent>
  </oleObject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0"/>
  <dimension ref="A1:Z28"/>
  <sheetViews>
    <sheetView workbookViewId="0">
      <selection activeCell="H3" sqref="H3:J3"/>
    </sheetView>
  </sheetViews>
  <sheetFormatPr baseColWidth="10" defaultRowHeight="12.9"/>
  <cols>
    <col min="1" max="1" width="27.375" customWidth="1"/>
    <col min="2" max="2" width="7.875" customWidth="1"/>
    <col min="3" max="3" width="15" customWidth="1"/>
    <col min="4" max="4" width="15.625" customWidth="1"/>
    <col min="6" max="6" width="11.125" customWidth="1"/>
    <col min="7" max="7" width="12.25" customWidth="1"/>
    <col min="8" max="8" width="10.625" customWidth="1"/>
    <col min="9" max="9" width="9.375" customWidth="1"/>
    <col min="10" max="10" width="5.25" customWidth="1"/>
    <col min="11" max="11" width="8.125" customWidth="1"/>
  </cols>
  <sheetData>
    <row r="1" spans="1:26" ht="19.55" customHeight="1">
      <c r="A1" s="365" t="s">
        <v>771</v>
      </c>
      <c r="B1" s="285"/>
      <c r="C1" s="284"/>
      <c r="D1" s="284"/>
      <c r="E1" s="284"/>
      <c r="F1" s="285"/>
    </row>
    <row r="2" spans="1:26" s="381" customFormat="1" ht="15.8" customHeight="1" thickBot="1">
      <c r="A2" s="3" t="s">
        <v>430</v>
      </c>
      <c r="B2" s="31" t="s">
        <v>969</v>
      </c>
      <c r="C2" s="471">
        <v>175</v>
      </c>
      <c r="D2" s="385"/>
      <c r="E2" s="385"/>
      <c r="F2" s="384"/>
    </row>
    <row r="3" spans="1:26" s="381" customFormat="1" ht="15.8" customHeight="1" thickBot="1">
      <c r="A3" s="3" t="s">
        <v>429</v>
      </c>
      <c r="B3" s="31" t="s">
        <v>969</v>
      </c>
      <c r="C3" s="472">
        <v>63</v>
      </c>
      <c r="D3" s="385"/>
      <c r="E3" s="385"/>
      <c r="F3" s="384"/>
      <c r="H3" s="1417" t="s">
        <v>1142</v>
      </c>
      <c r="I3" s="1418"/>
      <c r="J3" s="1419"/>
    </row>
    <row r="4" spans="1:26" ht="15.8" customHeight="1">
      <c r="A4" s="1604" t="s">
        <v>431</v>
      </c>
      <c r="B4" s="1612" t="s">
        <v>489</v>
      </c>
      <c r="C4" s="274" t="s">
        <v>481</v>
      </c>
      <c r="D4" s="274" t="s">
        <v>480</v>
      </c>
      <c r="E4" s="387"/>
      <c r="F4" s="386"/>
      <c r="G4" s="275"/>
      <c r="H4" s="275"/>
      <c r="I4" s="275"/>
      <c r="J4" s="275"/>
      <c r="K4" s="275"/>
      <c r="L4" s="275"/>
    </row>
    <row r="5" spans="1:26" ht="14.3">
      <c r="A5" s="1605"/>
      <c r="B5" s="1613"/>
      <c r="C5" s="479">
        <v>1</v>
      </c>
      <c r="D5" s="479">
        <v>0</v>
      </c>
      <c r="I5" s="76" t="s">
        <v>1084</v>
      </c>
      <c r="J5" s="176"/>
    </row>
    <row r="6" spans="1:26" ht="14.95">
      <c r="A6" s="1608" t="s">
        <v>432</v>
      </c>
      <c r="B6" s="1614" t="s">
        <v>1110</v>
      </c>
      <c r="C6" s="388" t="s">
        <v>486</v>
      </c>
      <c r="D6" s="388" t="s">
        <v>487</v>
      </c>
      <c r="I6" s="76" t="s">
        <v>1085</v>
      </c>
      <c r="J6" s="9"/>
    </row>
    <row r="7" spans="1:26" ht="13.6">
      <c r="A7" s="1609"/>
      <c r="B7" s="1615"/>
      <c r="C7" s="389">
        <f>+Z7</f>
        <v>3.1098153547133141</v>
      </c>
      <c r="D7" s="389">
        <f>+Z9</f>
        <v>0</v>
      </c>
      <c r="Z7" s="77">
        <f>(C5/((C2^2*C3)/6))*1000000</f>
        <v>3.1098153547133141</v>
      </c>
    </row>
    <row r="8" spans="1:26" ht="18" customHeight="1">
      <c r="A8" s="427" t="s">
        <v>562</v>
      </c>
      <c r="B8" s="428" t="s">
        <v>513</v>
      </c>
      <c r="C8" s="480">
        <v>13</v>
      </c>
      <c r="D8" s="426"/>
      <c r="Z8" s="77"/>
    </row>
    <row r="9" spans="1:26" ht="17.350000000000001" customHeight="1">
      <c r="A9" s="369" t="s">
        <v>447</v>
      </c>
      <c r="B9" s="262" t="s">
        <v>1110</v>
      </c>
      <c r="C9" s="77">
        <f>C8*1000/C2/C3</f>
        <v>1.179138321995465</v>
      </c>
      <c r="D9" s="381"/>
      <c r="Z9" s="77">
        <f>(D5/(((C3^2)*C2)/6))*1000000</f>
        <v>0</v>
      </c>
    </row>
    <row r="10" spans="1:26" ht="8.35" customHeight="1">
      <c r="I10" s="135"/>
      <c r="J10" s="394"/>
      <c r="K10" s="394"/>
      <c r="Z10" s="395"/>
    </row>
    <row r="11" spans="1:26" ht="17.350000000000001" customHeight="1">
      <c r="A11" s="367" t="s">
        <v>516</v>
      </c>
      <c r="B11" s="31" t="s">
        <v>436</v>
      </c>
      <c r="C11" s="474">
        <v>23</v>
      </c>
    </row>
    <row r="12" spans="1:26" ht="17.350000000000001" customHeight="1">
      <c r="A12" s="367" t="s">
        <v>433</v>
      </c>
      <c r="B12" s="31" t="s">
        <v>436</v>
      </c>
      <c r="C12" s="474">
        <v>30</v>
      </c>
      <c r="I12" s="392"/>
      <c r="J12" s="183"/>
      <c r="K12" s="393"/>
    </row>
    <row r="13" spans="1:26" ht="17.350000000000001" customHeight="1">
      <c r="A13" s="367" t="s">
        <v>434</v>
      </c>
      <c r="B13" s="31"/>
      <c r="C13" s="475">
        <v>1.1000000000000001</v>
      </c>
    </row>
    <row r="14" spans="1:26" ht="17.350000000000001" customHeight="1">
      <c r="A14" s="368" t="s">
        <v>435</v>
      </c>
      <c r="B14" s="31"/>
      <c r="C14" s="475">
        <v>1.3</v>
      </c>
    </row>
    <row r="15" spans="1:26" ht="17.350000000000001" customHeight="1">
      <c r="A15" s="399" t="s">
        <v>508</v>
      </c>
      <c r="B15" s="31"/>
      <c r="C15" s="476">
        <v>0.7</v>
      </c>
      <c r="I15" s="390"/>
      <c r="J15" s="275"/>
      <c r="K15" s="391"/>
    </row>
    <row r="16" spans="1:26" ht="15.8" customHeight="1">
      <c r="A16" s="429" t="s">
        <v>482</v>
      </c>
      <c r="B16" s="430" t="s">
        <v>484</v>
      </c>
      <c r="C16" s="477">
        <v>1.06</v>
      </c>
      <c r="I16" s="390"/>
      <c r="J16" s="275"/>
      <c r="K16" s="391"/>
    </row>
    <row r="17" spans="1:26" ht="15.8" customHeight="1">
      <c r="A17" s="429" t="s">
        <v>483</v>
      </c>
      <c r="B17" s="430" t="s">
        <v>485</v>
      </c>
      <c r="C17" s="477">
        <v>1.06</v>
      </c>
      <c r="F17" s="1602">
        <f>((C9/C22))+(C15*C7/C20)+(D7/C21)</f>
        <v>0.13070537132201471</v>
      </c>
      <c r="H17" s="1602">
        <f>((C9/C22))+(C7/C20)+(C15*D7/C21)</f>
        <v>0.16222540844291997</v>
      </c>
      <c r="I17" s="390"/>
      <c r="K17" s="391"/>
    </row>
    <row r="18" spans="1:26" ht="15.8" customHeight="1">
      <c r="A18" s="431" t="s">
        <v>510</v>
      </c>
      <c r="B18" s="430"/>
      <c r="C18" s="477">
        <v>1.1000000000000001</v>
      </c>
      <c r="F18" s="1603"/>
      <c r="H18" s="1603"/>
      <c r="Z18" s="445" t="e">
        <f>IF((#REF!&lt;1),1,2)</f>
        <v>#REF!</v>
      </c>
    </row>
    <row r="19" spans="1:26" ht="15.8" customHeight="1" thickBot="1">
      <c r="A19" s="619" t="s">
        <v>452</v>
      </c>
      <c r="B19" s="430"/>
      <c r="C19" s="477">
        <v>1</v>
      </c>
    </row>
    <row r="20" spans="1:26" ht="15.8" customHeight="1">
      <c r="A20" s="433" t="s">
        <v>669</v>
      </c>
      <c r="B20" s="432" t="s">
        <v>1110</v>
      </c>
      <c r="C20" s="396">
        <f>C12*C13/C14*C16*C18*C19</f>
        <v>29.598461538461542</v>
      </c>
      <c r="G20" s="1616">
        <f>MAX(F17,H17)</f>
        <v>0.16222540844291997</v>
      </c>
      <c r="H20" s="1618" t="s">
        <v>488</v>
      </c>
      <c r="I20" s="390"/>
      <c r="J20" s="374"/>
      <c r="K20" s="391"/>
    </row>
    <row r="21" spans="1:26" ht="15.8" customHeight="1" thickBot="1">
      <c r="A21" s="433" t="s">
        <v>670</v>
      </c>
      <c r="B21" s="432" t="s">
        <v>1110</v>
      </c>
      <c r="C21" s="396">
        <f>C12*C13/C14*C17</f>
        <v>26.907692307692308</v>
      </c>
      <c r="G21" s="1617"/>
      <c r="H21" s="1619"/>
    </row>
    <row r="22" spans="1:26" ht="15.8" customHeight="1">
      <c r="A22" s="433" t="s">
        <v>672</v>
      </c>
      <c r="B22" s="432" t="s">
        <v>1110</v>
      </c>
      <c r="C22" s="396">
        <f>C11/C14*C13*C16</f>
        <v>20.629230769230773</v>
      </c>
    </row>
    <row r="23" spans="1:26" ht="15.65">
      <c r="E23" s="446"/>
      <c r="F23" s="447"/>
      <c r="G23" s="447"/>
      <c r="H23" s="447"/>
      <c r="I23" s="447"/>
      <c r="J23" s="447"/>
    </row>
    <row r="25" spans="1:26">
      <c r="B25" s="1"/>
    </row>
    <row r="26" spans="1:26">
      <c r="B26" s="1"/>
    </row>
    <row r="27" spans="1:26">
      <c r="B27" s="1"/>
    </row>
    <row r="28" spans="1:26">
      <c r="B28" s="1"/>
    </row>
  </sheetData>
  <mergeCells count="9">
    <mergeCell ref="F17:F18"/>
    <mergeCell ref="H17:H18"/>
    <mergeCell ref="H20:H21"/>
    <mergeCell ref="G20:G21"/>
    <mergeCell ref="H3:J3"/>
    <mergeCell ref="A4:A5"/>
    <mergeCell ref="B4:B5"/>
    <mergeCell ref="A6:A7"/>
    <mergeCell ref="B6:B7"/>
  </mergeCells>
  <phoneticPr fontId="2" type="noConversion"/>
  <hyperlinks>
    <hyperlink ref="H3" location="MENU!A1" display="RETOUR MENU"/>
    <hyperlink ref="H3:J3" location="'M2'!A1" display="RETOUR MENU"/>
    <hyperlink ref="A16" location="'3'!A1" display="kh"/>
    <hyperlink ref="A17" location="'3'!A1" display="kh"/>
  </hyperlinks>
  <pageMargins left="0.78740157499999996" right="0.78740157499999996" top="0.984251969" bottom="0.984251969" header="0.4921259845" footer="0.4921259845"/>
  <pageSetup paperSize="9" orientation="portrait" horizontalDpi="4294967293" verticalDpi="300" r:id="rId1"/>
  <headerFooter alignWithMargins="0"/>
  <drawing r:id="rId2"/>
  <legacyDrawing r:id="rId3"/>
  <oleObjects>
    <mc:AlternateContent xmlns:mc="http://schemas.openxmlformats.org/markup-compatibility/2006">
      <mc:Choice Requires="x14">
        <oleObject progId="Equation.3" shapeId="36865" r:id="rId4">
          <objectPr defaultSize="0" autoPict="0" r:id="rId5">
            <anchor moveWithCells="1" sizeWithCells="1">
              <from>
                <xdr:col>4</xdr:col>
                <xdr:colOff>163902</xdr:colOff>
                <xdr:row>4</xdr:row>
                <xdr:rowOff>25879</xdr:rowOff>
              </from>
              <to>
                <xdr:col>5</xdr:col>
                <xdr:colOff>336430</xdr:colOff>
                <xdr:row>7</xdr:row>
                <xdr:rowOff>0</xdr:rowOff>
              </to>
            </anchor>
          </objectPr>
        </oleObject>
      </mc:Choice>
      <mc:Fallback>
        <oleObject progId="Equation.3" shapeId="36865" r:id="rId4"/>
      </mc:Fallback>
    </mc:AlternateContent>
    <mc:AlternateContent xmlns:mc="http://schemas.openxmlformats.org/markup-compatibility/2006">
      <mc:Choice Requires="x14">
        <oleObject progId="Equation.3" shapeId="36872" r:id="rId6">
          <objectPr defaultSize="0" autoPict="0" r:id="rId7">
            <anchor moveWithCells="1" sizeWithCells="1">
              <from>
                <xdr:col>4</xdr:col>
                <xdr:colOff>155275</xdr:colOff>
                <xdr:row>7</xdr:row>
                <xdr:rowOff>60385</xdr:rowOff>
              </from>
              <to>
                <xdr:col>5</xdr:col>
                <xdr:colOff>431321</xdr:colOff>
                <xdr:row>9</xdr:row>
                <xdr:rowOff>103517</xdr:rowOff>
              </to>
            </anchor>
          </objectPr>
        </oleObject>
      </mc:Choice>
      <mc:Fallback>
        <oleObject progId="Equation.3" shapeId="36872" r:id="rId6"/>
      </mc:Fallback>
    </mc:AlternateContent>
    <mc:AlternateContent xmlns:mc="http://schemas.openxmlformats.org/markup-compatibility/2006">
      <mc:Choice Requires="x14">
        <oleObject progId="Equation.3" shapeId="36886" r:id="rId8">
          <objectPr defaultSize="0" autoPict="0" r:id="rId9">
            <anchor moveWithCells="1" sizeWithCells="1">
              <from>
                <xdr:col>3</xdr:col>
                <xdr:colOff>51758</xdr:colOff>
                <xdr:row>20</xdr:row>
                <xdr:rowOff>25879</xdr:rowOff>
              </from>
              <to>
                <xdr:col>5</xdr:col>
                <xdr:colOff>741872</xdr:colOff>
                <xdr:row>22</xdr:row>
                <xdr:rowOff>172528</xdr:rowOff>
              </to>
            </anchor>
          </objectPr>
        </oleObject>
      </mc:Choice>
      <mc:Fallback>
        <oleObject progId="Equation.3" shapeId="36886" r:id="rId8"/>
      </mc:Fallback>
    </mc:AlternateContent>
    <mc:AlternateContent xmlns:mc="http://schemas.openxmlformats.org/markup-compatibility/2006">
      <mc:Choice Requires="x14">
        <oleObject progId="Equation.3" shapeId="36890" r:id="rId10">
          <objectPr defaultSize="0" autoPict="0" r:id="rId11">
            <anchor moveWithCells="1" sizeWithCells="1">
              <from>
                <xdr:col>3</xdr:col>
                <xdr:colOff>457200</xdr:colOff>
                <xdr:row>11</xdr:row>
                <xdr:rowOff>86264</xdr:rowOff>
              </from>
              <to>
                <xdr:col>6</xdr:col>
                <xdr:colOff>439947</xdr:colOff>
                <xdr:row>14</xdr:row>
                <xdr:rowOff>69011</xdr:rowOff>
              </to>
            </anchor>
          </objectPr>
        </oleObject>
      </mc:Choice>
      <mc:Fallback>
        <oleObject progId="Equation.3" shapeId="36890" r:id="rId10"/>
      </mc:Fallback>
    </mc:AlternateContent>
    <mc:AlternateContent xmlns:mc="http://schemas.openxmlformats.org/markup-compatibility/2006">
      <mc:Choice Requires="x14">
        <oleObject progId="Equation.3" shapeId="36891" r:id="rId12">
          <objectPr defaultSize="0" autoPict="0" r:id="rId13">
            <anchor moveWithCells="1" sizeWithCells="1">
              <from>
                <xdr:col>6</xdr:col>
                <xdr:colOff>560717</xdr:colOff>
                <xdr:row>11</xdr:row>
                <xdr:rowOff>60385</xdr:rowOff>
              </from>
              <to>
                <xdr:col>11</xdr:col>
                <xdr:colOff>439947</xdr:colOff>
                <xdr:row>14</xdr:row>
                <xdr:rowOff>60385</xdr:rowOff>
              </to>
            </anchor>
          </objectPr>
        </oleObject>
      </mc:Choice>
      <mc:Fallback>
        <oleObject progId="Equation.3" shapeId="36891" r:id="rId12"/>
      </mc:Fallback>
    </mc:AlternateContent>
    <mc:AlternateContent xmlns:mc="http://schemas.openxmlformats.org/markup-compatibility/2006">
      <mc:Choice Requires="x14">
        <oleObject progId="Equation.3" shapeId="36892" r:id="rId14">
          <objectPr defaultSize="0" autoPict="0" r:id="rId15">
            <anchor moveWithCells="1" sizeWithCells="1">
              <from>
                <xdr:col>8</xdr:col>
                <xdr:colOff>94891</xdr:colOff>
                <xdr:row>19</xdr:row>
                <xdr:rowOff>155275</xdr:rowOff>
              </from>
              <to>
                <xdr:col>11</xdr:col>
                <xdr:colOff>215660</xdr:colOff>
                <xdr:row>22</xdr:row>
                <xdr:rowOff>86264</xdr:rowOff>
              </to>
            </anchor>
          </objectPr>
        </oleObject>
      </mc:Choice>
      <mc:Fallback>
        <oleObject progId="Equation.3" shapeId="36892" r:id="rId14"/>
      </mc:Fallback>
    </mc:AlternateContent>
  </oleObject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1"/>
  <dimension ref="A1:Z24"/>
  <sheetViews>
    <sheetView workbookViewId="0">
      <selection activeCell="A22" sqref="A22:C22"/>
    </sheetView>
  </sheetViews>
  <sheetFormatPr baseColWidth="10" defaultRowHeight="12.9"/>
  <cols>
    <col min="1" max="1" width="22.125" customWidth="1"/>
    <col min="2" max="2" width="7.875" customWidth="1"/>
    <col min="4" max="4" width="14.625" customWidth="1"/>
    <col min="6" max="6" width="10.625" customWidth="1"/>
    <col min="9" max="9" width="12.25" bestFit="1" customWidth="1"/>
    <col min="10" max="10" width="5.25" customWidth="1"/>
  </cols>
  <sheetData>
    <row r="1" spans="1:26" ht="21.75" thickBot="1">
      <c r="A1" s="449" t="s">
        <v>519</v>
      </c>
      <c r="B1" s="423"/>
      <c r="C1" s="453"/>
      <c r="D1" s="424"/>
      <c r="E1" s="424"/>
      <c r="F1" s="425"/>
    </row>
    <row r="2" spans="1:26" ht="14.3">
      <c r="A2" s="17" t="s">
        <v>431</v>
      </c>
      <c r="B2" s="436" t="s">
        <v>489</v>
      </c>
      <c r="C2" s="463">
        <v>245</v>
      </c>
      <c r="I2" s="76" t="s">
        <v>1084</v>
      </c>
      <c r="J2" s="176"/>
    </row>
    <row r="3" spans="1:26" ht="14.3">
      <c r="A3" s="3" t="s">
        <v>430</v>
      </c>
      <c r="B3" s="31" t="s">
        <v>969</v>
      </c>
      <c r="C3" s="460">
        <v>1000</v>
      </c>
      <c r="I3" s="76" t="s">
        <v>1085</v>
      </c>
      <c r="J3" s="9"/>
    </row>
    <row r="4" spans="1:26" ht="14.3">
      <c r="A4" s="3" t="s">
        <v>429</v>
      </c>
      <c r="B4" s="31" t="s">
        <v>969</v>
      </c>
      <c r="C4" s="460">
        <v>100</v>
      </c>
      <c r="Z4" s="77">
        <f>(2.38-($C3/250))*(1+($C2/(12*$C3)))</f>
        <v>-1.6530750000000003</v>
      </c>
    </row>
    <row r="5" spans="1:26" ht="16.5" customHeight="1">
      <c r="A5" s="3"/>
      <c r="B5" s="31"/>
      <c r="C5" s="454" t="s">
        <v>518</v>
      </c>
      <c r="D5" s="448"/>
      <c r="Z5" s="77"/>
    </row>
    <row r="6" spans="1:26" ht="21.1">
      <c r="A6" s="369" t="s">
        <v>517</v>
      </c>
      <c r="B6" s="262" t="s">
        <v>1110</v>
      </c>
      <c r="C6" s="77">
        <f>C2*1000000/(C3^2)/C4*6</f>
        <v>14.700000000000001</v>
      </c>
      <c r="Z6" s="77">
        <f>(2.38-($C3/250))*(1+($C2/(6*$C3)))</f>
        <v>-1.68615</v>
      </c>
    </row>
    <row r="7" spans="1:26">
      <c r="C7" s="1"/>
    </row>
    <row r="8" spans="1:26">
      <c r="C8" s="1"/>
    </row>
    <row r="9" spans="1:26">
      <c r="C9" s="1"/>
    </row>
    <row r="10" spans="1:26" ht="18.350000000000001">
      <c r="A10" s="367" t="s">
        <v>433</v>
      </c>
      <c r="B10" s="31" t="s">
        <v>436</v>
      </c>
      <c r="C10" s="653">
        <v>22</v>
      </c>
      <c r="I10" s="392"/>
      <c r="J10" s="183"/>
      <c r="K10" s="393"/>
    </row>
    <row r="11" spans="1:26" ht="18.350000000000001">
      <c r="A11" s="367" t="s">
        <v>434</v>
      </c>
      <c r="B11" s="31"/>
      <c r="C11" s="491">
        <v>0.9</v>
      </c>
    </row>
    <row r="12" spans="1:26" ht="18.350000000000001">
      <c r="A12" s="368" t="s">
        <v>435</v>
      </c>
      <c r="B12" s="31"/>
      <c r="C12" s="491">
        <v>1.3</v>
      </c>
    </row>
    <row r="13" spans="1:26" ht="21.1">
      <c r="A13" s="372" t="s">
        <v>439</v>
      </c>
      <c r="B13" s="262" t="s">
        <v>1110</v>
      </c>
      <c r="C13" s="371">
        <f>C10*C11/C12</f>
        <v>15.23076923076923</v>
      </c>
    </row>
    <row r="14" spans="1:26" ht="15.65">
      <c r="A14" s="401" t="s">
        <v>450</v>
      </c>
      <c r="B14" s="31"/>
      <c r="C14" s="462">
        <v>1</v>
      </c>
      <c r="E14" s="373">
        <f>C6</f>
        <v>14.700000000000001</v>
      </c>
      <c r="F14" s="458" t="s">
        <v>444</v>
      </c>
      <c r="G14" s="373">
        <f>C6</f>
        <v>14.700000000000001</v>
      </c>
      <c r="H14" s="458" t="s">
        <v>444</v>
      </c>
    </row>
    <row r="15" spans="1:26" ht="18.350000000000001">
      <c r="A15" s="370" t="s">
        <v>438</v>
      </c>
      <c r="B15" s="31"/>
      <c r="C15" s="462">
        <v>1</v>
      </c>
      <c r="E15" s="160">
        <f>C13/C14/C15/C16</f>
        <v>15.23076923076923</v>
      </c>
      <c r="F15" s="458" t="s">
        <v>444</v>
      </c>
      <c r="G15" s="160">
        <f>C13/C14/C15/C16/C17</f>
        <v>38.076923076923073</v>
      </c>
      <c r="H15" s="458" t="s">
        <v>444</v>
      </c>
    </row>
    <row r="16" spans="1:26" ht="17.350000000000001" customHeight="1" thickBot="1">
      <c r="A16" s="401" t="s">
        <v>452</v>
      </c>
      <c r="B16" s="31"/>
      <c r="C16" s="462">
        <v>1</v>
      </c>
    </row>
    <row r="17" spans="1:7" ht="14.3">
      <c r="A17" s="401" t="s">
        <v>520</v>
      </c>
      <c r="B17" s="31"/>
      <c r="C17" s="462">
        <v>0.4</v>
      </c>
      <c r="E17" s="1423">
        <f>E14/E15</f>
        <v>0.96515151515151532</v>
      </c>
      <c r="G17" s="1423">
        <f>G14/G15</f>
        <v>0.3860606060606061</v>
      </c>
    </row>
    <row r="18" spans="1:7" ht="13.6" thickBot="1">
      <c r="B18" s="1"/>
      <c r="E18" s="1424"/>
      <c r="G18" s="1625"/>
    </row>
    <row r="19" spans="1:7">
      <c r="B19" s="1"/>
    </row>
    <row r="20" spans="1:7">
      <c r="A20" t="s">
        <v>437</v>
      </c>
      <c r="B20" s="1"/>
    </row>
    <row r="21" spans="1:7" ht="13.6" thickBot="1">
      <c r="B21" s="1"/>
    </row>
    <row r="22" spans="1:7" ht="13.6" thickBot="1">
      <c r="A22" s="1417" t="s">
        <v>1142</v>
      </c>
      <c r="B22" s="1418"/>
      <c r="C22" s="1419"/>
    </row>
    <row r="23" spans="1:7">
      <c r="B23" s="1"/>
    </row>
    <row r="24" spans="1:7">
      <c r="B24" s="1"/>
    </row>
  </sheetData>
  <mergeCells count="3">
    <mergeCell ref="A22:C22"/>
    <mergeCell ref="E17:E18"/>
    <mergeCell ref="G17:G18"/>
  </mergeCells>
  <phoneticPr fontId="2" type="noConversion"/>
  <hyperlinks>
    <hyperlink ref="A22" location="MENU!A1" display="RETOUR MENU"/>
    <hyperlink ref="A22:C22" location="'M2'!A1" display="RETOUR MENU"/>
    <hyperlink ref="A14" location="'3'!A1" display="kh"/>
    <hyperlink ref="A16" location="'4'!A1" display="kcrit"/>
    <hyperlink ref="A17" location="'8'!A1" display="km,a"/>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oleObjects>
    <mc:AlternateContent xmlns:mc="http://schemas.openxmlformats.org/markup-compatibility/2006">
      <mc:Choice Requires="x14">
        <oleObject progId="Equation.3" shapeId="37890" r:id="rId4">
          <objectPr defaultSize="0" autoPict="0" r:id="rId5">
            <anchor moveWithCells="1" sizeWithCells="1">
              <from>
                <xdr:col>7</xdr:col>
                <xdr:colOff>715992</xdr:colOff>
                <xdr:row>17</xdr:row>
                <xdr:rowOff>163902</xdr:rowOff>
              </from>
              <to>
                <xdr:col>10</xdr:col>
                <xdr:colOff>241540</xdr:colOff>
                <xdr:row>21</xdr:row>
                <xdr:rowOff>86264</xdr:rowOff>
              </to>
            </anchor>
          </objectPr>
        </oleObject>
      </mc:Choice>
      <mc:Fallback>
        <oleObject progId="Equation.3" shapeId="37890" r:id="rId4"/>
      </mc:Fallback>
    </mc:AlternateContent>
    <mc:AlternateContent xmlns:mc="http://schemas.openxmlformats.org/markup-compatibility/2006">
      <mc:Choice Requires="x14">
        <oleObject progId="Equation.3" shapeId="37891" r:id="rId6">
          <objectPr defaultSize="0" r:id="rId7">
            <anchor moveWithCells="1" sizeWithCells="1">
              <from>
                <xdr:col>8</xdr:col>
                <xdr:colOff>60385</xdr:colOff>
                <xdr:row>3</xdr:row>
                <xdr:rowOff>163902</xdr:rowOff>
              </from>
              <to>
                <xdr:col>10</xdr:col>
                <xdr:colOff>163902</xdr:colOff>
                <xdr:row>6</xdr:row>
                <xdr:rowOff>138023</xdr:rowOff>
              </to>
            </anchor>
          </objectPr>
        </oleObject>
      </mc:Choice>
      <mc:Fallback>
        <oleObject progId="Equation.3" shapeId="37891" r:id="rId6"/>
      </mc:Fallback>
    </mc:AlternateContent>
    <mc:AlternateContent xmlns:mc="http://schemas.openxmlformats.org/markup-compatibility/2006">
      <mc:Choice Requires="x14">
        <oleObject progId="Equation.3" shapeId="37906" r:id="rId8">
          <objectPr defaultSize="0" autoPict="0" r:id="rId9">
            <anchor moveWithCells="1" sizeWithCells="1">
              <from>
                <xdr:col>3</xdr:col>
                <xdr:colOff>284672</xdr:colOff>
                <xdr:row>9</xdr:row>
                <xdr:rowOff>60385</xdr:rowOff>
              </from>
              <to>
                <xdr:col>5</xdr:col>
                <xdr:colOff>439947</xdr:colOff>
                <xdr:row>11</xdr:row>
                <xdr:rowOff>224287</xdr:rowOff>
              </to>
            </anchor>
          </objectPr>
        </oleObject>
      </mc:Choice>
      <mc:Fallback>
        <oleObject progId="Equation.3" shapeId="37906" r:id="rId8"/>
      </mc:Fallback>
    </mc:AlternateContent>
    <mc:AlternateContent xmlns:mc="http://schemas.openxmlformats.org/markup-compatibility/2006">
      <mc:Choice Requires="x14">
        <oleObject progId="Equation.3" shapeId="37910" r:id="rId10">
          <objectPr defaultSize="0" r:id="rId11">
            <anchor moveWithCells="1">
              <from>
                <xdr:col>5</xdr:col>
                <xdr:colOff>612475</xdr:colOff>
                <xdr:row>9</xdr:row>
                <xdr:rowOff>69011</xdr:rowOff>
              </from>
              <to>
                <xdr:col>8</xdr:col>
                <xdr:colOff>483079</xdr:colOff>
                <xdr:row>12</xdr:row>
                <xdr:rowOff>0</xdr:rowOff>
              </to>
            </anchor>
          </objectPr>
        </oleObject>
      </mc:Choice>
      <mc:Fallback>
        <oleObject progId="Equation.3" shapeId="37910" r:id="rId10"/>
      </mc:Fallback>
    </mc:AlternateContent>
  </oleObjec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2"/>
  <dimension ref="A1"/>
  <sheetViews>
    <sheetView workbookViewId="0">
      <selection activeCell="J27" sqref="J27"/>
    </sheetView>
  </sheetViews>
  <sheetFormatPr baseColWidth="10" defaultRowHeight="12.9"/>
  <sheetData/>
  <phoneticPr fontId="2" type="noConversion"/>
  <pageMargins left="0.78740157499999996" right="0.78740157499999996" top="0.984251969" bottom="0.984251969" header="0.4921259845" footer="0.4921259845"/>
  <headerFooter alignWithMargins="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3"/>
  <dimension ref="A1:AC33"/>
  <sheetViews>
    <sheetView workbookViewId="0">
      <selection activeCell="A19" sqref="A19:C19"/>
    </sheetView>
  </sheetViews>
  <sheetFormatPr baseColWidth="10" defaultRowHeight="12.9"/>
  <cols>
    <col min="1" max="1" width="30.125" customWidth="1"/>
    <col min="2" max="2" width="7.875" customWidth="1"/>
    <col min="3" max="3" width="15" customWidth="1"/>
    <col min="4" max="4" width="15.625" customWidth="1"/>
    <col min="6" max="6" width="11.125" customWidth="1"/>
    <col min="7" max="7" width="4.125" customWidth="1"/>
    <col min="8" max="8" width="10.625" customWidth="1"/>
    <col min="9" max="9" width="9.375" customWidth="1"/>
    <col min="10" max="10" width="5.25" customWidth="1"/>
    <col min="11" max="11" width="8.125" customWidth="1"/>
  </cols>
  <sheetData>
    <row r="1" spans="1:29" ht="19.55" customHeight="1">
      <c r="A1" s="1626" t="s">
        <v>886</v>
      </c>
      <c r="B1" s="1627"/>
      <c r="C1" s="1627"/>
      <c r="D1" s="1627"/>
      <c r="E1" s="385"/>
      <c r="F1" s="384"/>
      <c r="Z1" s="1053">
        <v>9</v>
      </c>
      <c r="AA1" s="863" t="s">
        <v>951</v>
      </c>
      <c r="AB1" s="15">
        <f>$B$29*($B$28+(2*AC1))</f>
        <v>40432</v>
      </c>
      <c r="AC1" s="15">
        <f>0.4*C9</f>
        <v>34</v>
      </c>
    </row>
    <row r="2" spans="1:29" s="381" customFormat="1" ht="18" customHeight="1">
      <c r="A2" s="1046" t="s">
        <v>328</v>
      </c>
      <c r="B2" s="437" t="s">
        <v>969</v>
      </c>
      <c r="C2" s="1058">
        <v>12</v>
      </c>
      <c r="D2" s="385"/>
      <c r="E2" s="385"/>
      <c r="F2" s="384"/>
      <c r="Z2" s="381">
        <f>INDEX(AB1:AB12,Z1,1)</f>
        <v>39440</v>
      </c>
      <c r="AA2" s="1052" t="s">
        <v>961</v>
      </c>
      <c r="AB2" s="15">
        <f>$B$29*($B$28+(2*AC2))</f>
        <v>39007.447714067472</v>
      </c>
      <c r="AC2" s="1062">
        <f>1.4*((C3/C2/C4)^0.5)</f>
        <v>24.627945487286006</v>
      </c>
    </row>
    <row r="3" spans="1:29" s="381" customFormat="1" ht="18" customHeight="1">
      <c r="A3" s="1046" t="s">
        <v>341</v>
      </c>
      <c r="B3" s="437" t="s">
        <v>79</v>
      </c>
      <c r="C3" s="1061">
        <v>115118</v>
      </c>
      <c r="D3" s="385"/>
      <c r="E3" s="385"/>
      <c r="F3" s="384"/>
      <c r="AA3" s="183" t="s">
        <v>974</v>
      </c>
      <c r="AB3" s="15">
        <f>$B$29*($B$28+(2*AC3))</f>
        <v>50857.891224333907</v>
      </c>
      <c r="AC3" s="1062">
        <f>$C$9*((2+($C$3/$C$4/$C$2/$C$9^2)^0.5)-1)</f>
        <v>102.59138963377571</v>
      </c>
    </row>
    <row r="4" spans="1:29" s="381" customFormat="1" ht="18" customHeight="1">
      <c r="A4" s="1046" t="s">
        <v>342</v>
      </c>
      <c r="B4" s="437" t="s">
        <v>1110</v>
      </c>
      <c r="C4" s="1061">
        <v>31</v>
      </c>
      <c r="D4" s="385"/>
      <c r="E4" s="385"/>
      <c r="F4" s="384"/>
      <c r="AA4" s="183" t="s">
        <v>954</v>
      </c>
      <c r="AB4" s="15">
        <f>$B$29*($B$28+(2*AC4))</f>
        <v>40611.782448667822</v>
      </c>
      <c r="AC4" s="15">
        <f>2*($C$3/$C$4/$C$2)^0.5</f>
        <v>35.182779267551439</v>
      </c>
    </row>
    <row r="5" spans="1:29" s="381" customFormat="1" ht="18" customHeight="1">
      <c r="A5" s="1045" t="s">
        <v>331</v>
      </c>
      <c r="B5" s="437" t="s">
        <v>969</v>
      </c>
      <c r="C5" s="1059">
        <v>280</v>
      </c>
      <c r="D5" s="385"/>
      <c r="E5" s="385"/>
      <c r="F5" s="384"/>
      <c r="X5" s="212"/>
      <c r="Y5" s="212"/>
      <c r="Z5" s="212"/>
      <c r="AA5" s="183" t="s">
        <v>975</v>
      </c>
      <c r="AB5" s="15">
        <f>$B$28*$C$9</f>
        <v>39440</v>
      </c>
      <c r="AC5" s="15"/>
    </row>
    <row r="6" spans="1:29" ht="18" customHeight="1">
      <c r="A6" s="1045" t="s">
        <v>332</v>
      </c>
      <c r="B6" s="437" t="s">
        <v>969</v>
      </c>
      <c r="C6" s="1056">
        <v>100</v>
      </c>
      <c r="D6" s="620"/>
      <c r="E6" s="387"/>
      <c r="F6" s="386"/>
      <c r="G6" s="275"/>
      <c r="K6" s="275"/>
      <c r="L6" s="275"/>
      <c r="X6" s="212"/>
      <c r="Y6" s="212"/>
      <c r="Z6" s="212"/>
      <c r="AA6" s="183" t="s">
        <v>976</v>
      </c>
      <c r="AB6" s="15">
        <f>$B$28*$C$9</f>
        <v>39440</v>
      </c>
      <c r="AC6" s="15"/>
    </row>
    <row r="7" spans="1:29" ht="18" customHeight="1">
      <c r="A7" s="1046" t="s">
        <v>329</v>
      </c>
      <c r="B7" s="1048"/>
      <c r="C7" s="1060">
        <v>4</v>
      </c>
      <c r="D7" s="621"/>
      <c r="X7" s="212"/>
      <c r="Y7" s="212"/>
      <c r="Z7" s="212"/>
      <c r="AA7" s="183" t="s">
        <v>977</v>
      </c>
      <c r="AB7" s="15">
        <f>$B$29*($B$28+(2*AC7))</f>
        <v>50857.891224333907</v>
      </c>
      <c r="AC7" s="1062">
        <f>$C$9*((2+($C$3/$C$4/$C$2/$C$9^2)^0.5)-1)</f>
        <v>102.59138963377571</v>
      </c>
    </row>
    <row r="8" spans="1:29" ht="18" customHeight="1">
      <c r="A8" s="1047" t="s">
        <v>330</v>
      </c>
      <c r="B8" s="1040"/>
      <c r="C8" s="1056">
        <v>3</v>
      </c>
      <c r="D8" s="622"/>
      <c r="X8" s="212"/>
      <c r="Y8" s="212"/>
      <c r="Z8" s="212"/>
      <c r="AA8" s="183" t="s">
        <v>978</v>
      </c>
      <c r="AB8" s="15">
        <f>$B$29*($B$28+(2*AC8))</f>
        <v>40611.782448667822</v>
      </c>
      <c r="AC8" s="15">
        <f>2*($C$3/$C$4/$C$2)^0.5</f>
        <v>35.182779267551439</v>
      </c>
    </row>
    <row r="9" spans="1:29" ht="18" customHeight="1">
      <c r="A9" s="427" t="s">
        <v>333</v>
      </c>
      <c r="B9" s="1049"/>
      <c r="C9" s="1056">
        <v>85</v>
      </c>
      <c r="D9" s="623"/>
      <c r="X9" s="212"/>
      <c r="Y9" s="212"/>
      <c r="Z9" s="409"/>
      <c r="AA9" s="183" t="s">
        <v>982</v>
      </c>
      <c r="AB9" s="15">
        <f>$B$28*$C$9</f>
        <v>39440</v>
      </c>
      <c r="AC9" s="15"/>
    </row>
    <row r="10" spans="1:29" ht="18" customHeight="1">
      <c r="A10" s="427" t="s">
        <v>334</v>
      </c>
      <c r="B10" s="428" t="s">
        <v>513</v>
      </c>
      <c r="C10" s="1055">
        <v>150</v>
      </c>
      <c r="D10" s="426"/>
      <c r="X10" s="212"/>
      <c r="Y10" s="212"/>
      <c r="Z10" s="409"/>
      <c r="AA10" s="183" t="s">
        <v>983</v>
      </c>
      <c r="AB10" s="15">
        <f>$B$28*$C$9</f>
        <v>39440</v>
      </c>
      <c r="AC10" s="15"/>
    </row>
    <row r="11" spans="1:29" ht="18.7" customHeight="1">
      <c r="A11" s="1631" t="s">
        <v>335</v>
      </c>
      <c r="B11" s="1249"/>
      <c r="C11" s="1054"/>
      <c r="D11" s="212"/>
      <c r="G11" s="624"/>
      <c r="H11" s="625"/>
      <c r="I11" s="287"/>
      <c r="J11" s="625"/>
      <c r="K11" s="625"/>
      <c r="L11" s="625"/>
      <c r="X11" s="212"/>
      <c r="Y11" s="212"/>
      <c r="Z11" s="409"/>
      <c r="AA11" s="183" t="s">
        <v>1075</v>
      </c>
      <c r="AB11" s="15">
        <f>$B$28*$C$9</f>
        <v>39440</v>
      </c>
      <c r="AC11" s="15"/>
    </row>
    <row r="12" spans="1:29" ht="41.95" customHeight="1">
      <c r="I12" s="135"/>
      <c r="J12" s="394"/>
      <c r="K12" s="394"/>
      <c r="X12" s="212"/>
      <c r="Y12" s="212"/>
      <c r="Z12" s="409"/>
      <c r="AA12" s="183" t="s">
        <v>1126</v>
      </c>
      <c r="AB12" s="15">
        <f>$B$29*$C$9</f>
        <v>6460</v>
      </c>
      <c r="AC12" s="15"/>
    </row>
    <row r="13" spans="1:29" ht="17.350000000000001" customHeight="1" thickBot="1">
      <c r="A13" s="367" t="s">
        <v>516</v>
      </c>
      <c r="B13" s="31" t="s">
        <v>436</v>
      </c>
      <c r="C13" s="1057">
        <v>22.5</v>
      </c>
      <c r="F13" s="496" t="s">
        <v>347</v>
      </c>
      <c r="H13" s="1071" t="s">
        <v>348</v>
      </c>
      <c r="X13" s="212"/>
      <c r="Y13" s="212"/>
      <c r="Z13" s="212"/>
      <c r="AA13" s="212"/>
      <c r="AB13" s="1" t="s">
        <v>339</v>
      </c>
      <c r="AC13" s="1" t="s">
        <v>340</v>
      </c>
    </row>
    <row r="14" spans="1:29" ht="17.350000000000001" customHeight="1" thickBot="1">
      <c r="A14" s="367" t="s">
        <v>457</v>
      </c>
      <c r="B14" s="31" t="s">
        <v>436</v>
      </c>
      <c r="C14" s="1057">
        <v>3.8</v>
      </c>
      <c r="F14" s="1066">
        <f>F16</f>
        <v>150</v>
      </c>
      <c r="G14" s="1067" t="str">
        <f>IF(F14&lt;H14,"&lt;","&gt;")</f>
        <v>&lt;</v>
      </c>
      <c r="H14" s="1068">
        <f>F17</f>
        <v>184.4826923076923</v>
      </c>
      <c r="I14" s="93" t="s">
        <v>346</v>
      </c>
      <c r="J14" s="183"/>
      <c r="K14" s="393"/>
      <c r="X14" s="212"/>
      <c r="Y14" s="212"/>
      <c r="Z14" s="212"/>
    </row>
    <row r="15" spans="1:29" ht="17.350000000000001" customHeight="1" thickBot="1">
      <c r="A15" s="367" t="s">
        <v>434</v>
      </c>
      <c r="B15" s="31"/>
      <c r="C15" s="490">
        <v>1.1000000000000001</v>
      </c>
      <c r="X15" s="212"/>
      <c r="Y15" s="212"/>
      <c r="Z15" s="212"/>
    </row>
    <row r="16" spans="1:29" ht="18" customHeight="1" thickBot="1">
      <c r="A16" s="368" t="s">
        <v>435</v>
      </c>
      <c r="B16" s="31"/>
      <c r="C16" s="490">
        <v>1.3</v>
      </c>
      <c r="F16" s="1069">
        <f>C10</f>
        <v>150</v>
      </c>
      <c r="H16" s="1423">
        <f>F16/F17</f>
        <v>0.81308440441567376</v>
      </c>
      <c r="X16" s="212"/>
      <c r="Y16" s="212"/>
      <c r="Z16" s="212"/>
    </row>
    <row r="17" spans="1:27" ht="21.1" customHeight="1" thickBot="1">
      <c r="A17" s="1050" t="s">
        <v>336</v>
      </c>
      <c r="B17" s="1051" t="s">
        <v>513</v>
      </c>
      <c r="C17" s="1063">
        <f>(MAX(B32:B33)*C15/C16)/1000</f>
        <v>184.4826923076923</v>
      </c>
      <c r="F17" s="1070">
        <f>C17</f>
        <v>184.4826923076923</v>
      </c>
      <c r="H17" s="1424"/>
      <c r="J17" s="275"/>
      <c r="K17" s="391"/>
      <c r="X17" s="212"/>
      <c r="Y17" s="212"/>
      <c r="Z17" s="212"/>
      <c r="AA17" s="212"/>
    </row>
    <row r="18" spans="1:27" ht="16.3" thickBot="1">
      <c r="D18" s="76" t="s">
        <v>1084</v>
      </c>
      <c r="E18" s="176"/>
      <c r="F18" s="1064" t="s">
        <v>346</v>
      </c>
      <c r="H18" s="1065" t="s">
        <v>350</v>
      </c>
    </row>
    <row r="19" spans="1:27" ht="14.3" thickBot="1">
      <c r="A19" s="1628" t="s">
        <v>1142</v>
      </c>
      <c r="B19" s="1629"/>
      <c r="C19" s="1630"/>
      <c r="D19" s="76" t="s">
        <v>1085</v>
      </c>
      <c r="E19" s="9"/>
    </row>
    <row r="28" spans="1:27">
      <c r="A28" t="s">
        <v>338</v>
      </c>
      <c r="B28" s="1">
        <f>IF(C8&gt;1,(C5-(C2*C7))*2,C5-(C2*C7))</f>
        <v>464</v>
      </c>
    </row>
    <row r="29" spans="1:27">
      <c r="A29" t="s">
        <v>337</v>
      </c>
      <c r="B29" s="1">
        <f>C6-((C8-1)*C2)</f>
        <v>76</v>
      </c>
    </row>
    <row r="30" spans="1:27">
      <c r="A30" t="s">
        <v>343</v>
      </c>
      <c r="B30" s="1">
        <f>B29*C9</f>
        <v>6460</v>
      </c>
    </row>
    <row r="31" spans="1:27">
      <c r="A31" t="s">
        <v>339</v>
      </c>
      <c r="B31" s="1">
        <f>C9*B28</f>
        <v>39440</v>
      </c>
    </row>
    <row r="32" spans="1:27">
      <c r="A32" t="s">
        <v>344</v>
      </c>
      <c r="B32">
        <f>1.5*B30*C13</f>
        <v>218025</v>
      </c>
    </row>
    <row r="33" spans="1:2">
      <c r="A33" t="s">
        <v>345</v>
      </c>
      <c r="B33">
        <f>0.7*Z2*C14</f>
        <v>104910.39999999999</v>
      </c>
    </row>
  </sheetData>
  <mergeCells count="4">
    <mergeCell ref="H16:H17"/>
    <mergeCell ref="A1:D1"/>
    <mergeCell ref="A19:C19"/>
    <mergeCell ref="A11:B11"/>
  </mergeCells>
  <phoneticPr fontId="2" type="noConversion"/>
  <hyperlinks>
    <hyperlink ref="A19" location="MENU!A1" display="RETOUR MENU"/>
    <hyperlink ref="A19:C19" location="'M3'!A1" display="RETOUR MENU"/>
  </hyperlinks>
  <pageMargins left="0.78740157499999996" right="0.78740157499999996" top="0.984251969" bottom="0.984251969" header="0.4921259845" footer="0.4921259845"/>
  <pageSetup paperSize="9"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547" r:id="rId4" name="Drop Down 11">
              <controlPr defaultSize="0" autoLine="0" autoPict="0">
                <anchor moveWithCells="1">
                  <from>
                    <xdr:col>2</xdr:col>
                    <xdr:colOff>8626</xdr:colOff>
                    <xdr:row>10</xdr:row>
                    <xdr:rowOff>8626</xdr:rowOff>
                  </from>
                  <to>
                    <xdr:col>3</xdr:col>
                    <xdr:colOff>8626</xdr:colOff>
                    <xdr:row>10</xdr:row>
                    <xdr:rowOff>224287</xdr:rowOff>
                  </to>
                </anchor>
              </controlPr>
            </control>
          </mc:Choice>
        </mc:AlternateContent>
      </controls>
    </mc:Choice>
  </mc:AlternateConten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9"/>
  <sheetViews>
    <sheetView zoomScale="115" workbookViewId="0">
      <selection activeCell="H5" sqref="H5:J5"/>
    </sheetView>
  </sheetViews>
  <sheetFormatPr baseColWidth="10" defaultRowHeight="12.9"/>
  <cols>
    <col min="1" max="1" width="27.375" customWidth="1"/>
    <col min="2" max="2" width="7.875" customWidth="1"/>
    <col min="3" max="3" width="15" customWidth="1"/>
    <col min="4" max="4" width="9.625" customWidth="1"/>
    <col min="6" max="6" width="11.125" customWidth="1"/>
    <col min="7" max="7" width="12.25" customWidth="1"/>
    <col min="8" max="8" width="10.625" customWidth="1"/>
    <col min="9" max="9" width="9.375" customWidth="1"/>
    <col min="10" max="10" width="5.25" customWidth="1"/>
    <col min="11" max="11" width="8.125" customWidth="1"/>
  </cols>
  <sheetData>
    <row r="1" spans="1:26" ht="19.55" customHeight="1">
      <c r="A1" s="365" t="s">
        <v>507</v>
      </c>
      <c r="B1" s="285"/>
      <c r="C1" s="284"/>
      <c r="D1" s="284"/>
      <c r="E1" s="284"/>
      <c r="F1" s="285"/>
    </row>
    <row r="2" spans="1:26" s="381" customFormat="1" ht="15.8" customHeight="1">
      <c r="A2" s="3" t="s">
        <v>430</v>
      </c>
      <c r="B2" s="31" t="s">
        <v>969</v>
      </c>
      <c r="C2" s="471">
        <v>220</v>
      </c>
      <c r="D2" s="385"/>
      <c r="E2" s="385"/>
      <c r="F2" s="384"/>
    </row>
    <row r="3" spans="1:26" s="381" customFormat="1" ht="15.8" customHeight="1">
      <c r="A3" s="3" t="s">
        <v>429</v>
      </c>
      <c r="B3" s="31" t="s">
        <v>969</v>
      </c>
      <c r="C3" s="472">
        <v>100</v>
      </c>
      <c r="D3" s="385"/>
      <c r="E3" s="385"/>
      <c r="F3" s="384"/>
    </row>
    <row r="4" spans="1:26" ht="15.8" customHeight="1" thickBot="1">
      <c r="A4" s="1604" t="s">
        <v>431</v>
      </c>
      <c r="B4" s="1612" t="s">
        <v>489</v>
      </c>
      <c r="C4" s="274" t="s">
        <v>481</v>
      </c>
      <c r="D4" s="620"/>
      <c r="E4" s="387"/>
      <c r="F4" s="386"/>
      <c r="G4" s="275"/>
      <c r="K4" s="275"/>
      <c r="L4" s="275"/>
    </row>
    <row r="5" spans="1:26" ht="14.95" thickBot="1">
      <c r="A5" s="1605"/>
      <c r="B5" s="1613"/>
      <c r="C5" s="463">
        <v>14.5</v>
      </c>
      <c r="D5" s="621"/>
      <c r="H5" s="1417" t="s">
        <v>1142</v>
      </c>
      <c r="I5" s="1418"/>
      <c r="J5" s="1419"/>
    </row>
    <row r="6" spans="1:26" ht="14.95">
      <c r="A6" s="1608" t="s">
        <v>432</v>
      </c>
      <c r="B6" s="1614" t="s">
        <v>1110</v>
      </c>
      <c r="C6" s="388" t="s">
        <v>675</v>
      </c>
      <c r="D6" s="622"/>
    </row>
    <row r="7" spans="1:26" ht="13.6">
      <c r="A7" s="1609"/>
      <c r="B7" s="1615"/>
      <c r="C7" s="389">
        <f>C5*1000000*6/C2^2/C3</f>
        <v>17.975206611570247</v>
      </c>
      <c r="D7" s="623"/>
      <c r="I7" s="76" t="s">
        <v>1084</v>
      </c>
      <c r="J7" s="176"/>
      <c r="Z7" s="77">
        <f>(C5/((C2^2*C3)/6))*1000000</f>
        <v>17.97520661157025</v>
      </c>
    </row>
    <row r="8" spans="1:26" ht="18" customHeight="1">
      <c r="A8" s="427" t="s">
        <v>509</v>
      </c>
      <c r="B8" s="428" t="s">
        <v>513</v>
      </c>
      <c r="C8" s="480">
        <v>5.16</v>
      </c>
      <c r="D8" s="426"/>
      <c r="I8" s="76" t="s">
        <v>1085</v>
      </c>
      <c r="J8" s="9"/>
      <c r="Z8" s="77"/>
    </row>
    <row r="9" spans="1:26" ht="17.350000000000001" customHeight="1">
      <c r="A9" s="369" t="s">
        <v>443</v>
      </c>
      <c r="B9" s="262" t="s">
        <v>1110</v>
      </c>
      <c r="C9" s="77">
        <f>C8*1000/C2/C3</f>
        <v>0.23454545454545453</v>
      </c>
      <c r="D9" s="381"/>
      <c r="G9" s="624"/>
      <c r="H9" s="625"/>
      <c r="I9" s="287"/>
      <c r="J9" s="625"/>
      <c r="K9" s="625"/>
      <c r="L9" s="625"/>
      <c r="Z9" s="77">
        <f>(D5/(((C3^2)*C2)/6))*1000000</f>
        <v>0</v>
      </c>
    </row>
    <row r="10" spans="1:26" ht="20.25" customHeight="1">
      <c r="E10" s="1638" t="s">
        <v>1284</v>
      </c>
      <c r="F10" s="1639"/>
      <c r="G10" s="1639"/>
      <c r="H10" s="1639"/>
      <c r="I10" s="1639"/>
      <c r="J10" s="1639"/>
      <c r="K10" s="1639"/>
      <c r="L10" s="1640"/>
      <c r="Z10" s="395"/>
    </row>
    <row r="11" spans="1:26" ht="17.350000000000001" customHeight="1" thickBot="1">
      <c r="A11" s="367" t="s">
        <v>441</v>
      </c>
      <c r="B11" s="31" t="s">
        <v>436</v>
      </c>
      <c r="C11" s="474">
        <v>20</v>
      </c>
      <c r="E11" s="1632" t="s">
        <v>1282</v>
      </c>
      <c r="F11" s="1633"/>
      <c r="G11" s="1634"/>
      <c r="I11" s="1635" t="s">
        <v>1283</v>
      </c>
      <c r="J11" s="1636"/>
      <c r="K11" s="1636"/>
      <c r="L11" s="1637"/>
    </row>
    <row r="12" spans="1:26" ht="17.350000000000001" customHeight="1">
      <c r="A12" s="367" t="s">
        <v>433</v>
      </c>
      <c r="B12" s="31" t="s">
        <v>436</v>
      </c>
      <c r="C12" s="474">
        <v>22</v>
      </c>
      <c r="I12" s="392"/>
      <c r="J12" s="183"/>
      <c r="K12" s="393"/>
    </row>
    <row r="13" spans="1:26" ht="17.350000000000001" customHeight="1">
      <c r="A13" s="367" t="s">
        <v>434</v>
      </c>
      <c r="B13" s="31"/>
      <c r="C13" s="475">
        <v>1.1000000000000001</v>
      </c>
    </row>
    <row r="14" spans="1:26" ht="17.350000000000001" customHeight="1">
      <c r="A14" s="368" t="s">
        <v>435</v>
      </c>
      <c r="B14" s="31"/>
      <c r="C14" s="475">
        <v>1.25</v>
      </c>
    </row>
    <row r="15" spans="1:26" ht="17.350000000000001" customHeight="1">
      <c r="A15" s="429" t="s">
        <v>482</v>
      </c>
      <c r="B15" s="430" t="s">
        <v>484</v>
      </c>
      <c r="C15" s="477">
        <v>1</v>
      </c>
      <c r="I15" s="390"/>
      <c r="J15" s="275"/>
      <c r="K15" s="391"/>
    </row>
    <row r="16" spans="1:26" ht="15.8" customHeight="1">
      <c r="A16" s="431" t="s">
        <v>510</v>
      </c>
      <c r="B16" s="430"/>
      <c r="C16" s="477">
        <v>1</v>
      </c>
      <c r="I16" s="390"/>
      <c r="J16" s="275"/>
      <c r="K16" s="391"/>
    </row>
    <row r="17" spans="1:26" ht="15.8" customHeight="1">
      <c r="A17" s="429" t="s">
        <v>452</v>
      </c>
      <c r="B17" s="626"/>
      <c r="C17" s="477">
        <v>1</v>
      </c>
      <c r="F17" s="1602">
        <f>(C9/C21/C19)+(C7/C18/C15/C16/C17)^2</f>
        <v>0.90370431474711055</v>
      </c>
      <c r="H17" s="1602">
        <f>(C7/C18/C15/C16/C17)+(C9/C21/C20)</f>
        <v>0.96354101136318682</v>
      </c>
      <c r="I17" s="390"/>
      <c r="K17" s="391"/>
      <c r="L17" t="s">
        <v>437</v>
      </c>
      <c r="M17" s="1213"/>
    </row>
    <row r="18" spans="1:26" ht="15.8" customHeight="1">
      <c r="A18" s="433" t="s">
        <v>676</v>
      </c>
      <c r="B18" s="209" t="s">
        <v>1110</v>
      </c>
      <c r="C18" s="396">
        <f>C12*C13/C14</f>
        <v>19.360000000000003</v>
      </c>
      <c r="D18" t="s">
        <v>668</v>
      </c>
      <c r="F18" s="1603"/>
      <c r="H18" s="1603"/>
      <c r="Z18" s="445">
        <f>IF((C19&lt;1),1,2)</f>
        <v>1</v>
      </c>
    </row>
    <row r="19" spans="1:26" ht="15.8" customHeight="1">
      <c r="A19" s="434" t="s">
        <v>394</v>
      </c>
      <c r="B19" s="1211" t="s">
        <v>1280</v>
      </c>
      <c r="C19" s="477">
        <v>0.32</v>
      </c>
    </row>
    <row r="20" spans="1:26" ht="15.8" customHeight="1" thickBot="1">
      <c r="A20" s="434" t="s">
        <v>394</v>
      </c>
      <c r="B20" s="1211" t="s">
        <v>1279</v>
      </c>
      <c r="C20" s="477">
        <v>0.38</v>
      </c>
    </row>
    <row r="21" spans="1:26" ht="15.8" customHeight="1">
      <c r="A21" s="433" t="s">
        <v>511</v>
      </c>
      <c r="B21" s="432" t="s">
        <v>1110</v>
      </c>
      <c r="C21" s="396">
        <f>C11/C14*C13</f>
        <v>17.600000000000001</v>
      </c>
      <c r="G21" s="1616">
        <f>MAX(F17,H17,F26)</f>
        <v>0.96354101136318682</v>
      </c>
      <c r="H21" s="1618" t="s">
        <v>488</v>
      </c>
      <c r="I21" s="390"/>
      <c r="J21" s="374"/>
      <c r="Y21">
        <v>2</v>
      </c>
      <c r="Z21" t="s">
        <v>1279</v>
      </c>
    </row>
    <row r="22" spans="1:26" ht="15.8" customHeight="1" thickBot="1">
      <c r="G22" s="1617"/>
      <c r="H22" s="1619"/>
      <c r="Z22" t="s">
        <v>1280</v>
      </c>
    </row>
    <row r="23" spans="1:26" ht="9.6999999999999993" customHeight="1">
      <c r="A23" s="1212"/>
    </row>
    <row r="24" spans="1:26" ht="18.7" customHeight="1">
      <c r="E24" s="1638" t="s">
        <v>1289</v>
      </c>
      <c r="F24" s="1639"/>
      <c r="G24" s="1639"/>
      <c r="H24" s="1639"/>
      <c r="I24" s="1639"/>
      <c r="J24" s="1639"/>
      <c r="K24" s="1639"/>
      <c r="L24" s="1640"/>
    </row>
    <row r="26" spans="1:26">
      <c r="B26" s="1"/>
    </row>
    <row r="27" spans="1:26">
      <c r="B27" s="1"/>
      <c r="F27" s="1602">
        <f>(C7/C15/C18/C16)+(C9/C21)</f>
        <v>0.94179786216788453</v>
      </c>
    </row>
    <row r="28" spans="1:26">
      <c r="B28" s="1"/>
      <c r="F28" s="1603"/>
    </row>
    <row r="29" spans="1:26">
      <c r="B29" s="1"/>
    </row>
  </sheetData>
  <mergeCells count="14">
    <mergeCell ref="A4:A5"/>
    <mergeCell ref="B4:B5"/>
    <mergeCell ref="A6:A7"/>
    <mergeCell ref="B6:B7"/>
    <mergeCell ref="F17:F18"/>
    <mergeCell ref="H17:H18"/>
    <mergeCell ref="E11:G11"/>
    <mergeCell ref="I11:L11"/>
    <mergeCell ref="E10:L10"/>
    <mergeCell ref="E24:L24"/>
    <mergeCell ref="F27:F28"/>
    <mergeCell ref="H5:J5"/>
    <mergeCell ref="G21:G22"/>
    <mergeCell ref="H21:H22"/>
  </mergeCells>
  <phoneticPr fontId="2" type="noConversion"/>
  <hyperlinks>
    <hyperlink ref="H5" location="MENU!A1" display="RETOUR MENU"/>
    <hyperlink ref="H5:J5" location="'M2'!A1" display="RETOUR MENU"/>
    <hyperlink ref="A15" location="'3'!A1" display="kh"/>
    <hyperlink ref="A17" location="'4'!A1" display="kcrit"/>
    <hyperlink ref="A19" location="'5'!A1" display="kcy"/>
    <hyperlink ref="A20" location="'5'!A1" display="kcy"/>
  </hyperlinks>
  <pageMargins left="0.78740157499999996" right="0.78740157499999996" top="0.984251969" bottom="0.984251969" header="0.4921259845" footer="0.4921259845"/>
  <pageSetup paperSize="9" orientation="landscape" horizontalDpi="4294967293" r:id="rId1"/>
  <headerFooter alignWithMargins="0"/>
  <drawing r:id="rId2"/>
  <legacyDrawing r:id="rId3"/>
  <oleObjects>
    <mc:AlternateContent xmlns:mc="http://schemas.openxmlformats.org/markup-compatibility/2006">
      <mc:Choice Requires="x14">
        <oleObject progId="Equation.3" shapeId="41985" r:id="rId4">
          <objectPr defaultSize="0" autoPict="0" r:id="rId5">
            <anchor moveWithCells="1" sizeWithCells="1">
              <from>
                <xdr:col>4</xdr:col>
                <xdr:colOff>60385</xdr:colOff>
                <xdr:row>3</xdr:row>
                <xdr:rowOff>17253</xdr:rowOff>
              </from>
              <to>
                <xdr:col>5</xdr:col>
                <xdr:colOff>224287</xdr:colOff>
                <xdr:row>5</xdr:row>
                <xdr:rowOff>138023</xdr:rowOff>
              </to>
            </anchor>
          </objectPr>
        </oleObject>
      </mc:Choice>
      <mc:Fallback>
        <oleObject progId="Equation.3" shapeId="41985" r:id="rId4"/>
      </mc:Fallback>
    </mc:AlternateContent>
    <mc:AlternateContent xmlns:mc="http://schemas.openxmlformats.org/markup-compatibility/2006">
      <mc:Choice Requires="x14">
        <oleObject progId="Equation.3" shapeId="41992" r:id="rId6">
          <objectPr defaultSize="0" autoPict="0" r:id="rId7">
            <anchor moveWithCells="1" sizeWithCells="1">
              <from>
                <xdr:col>4</xdr:col>
                <xdr:colOff>155275</xdr:colOff>
                <xdr:row>5</xdr:row>
                <xdr:rowOff>181155</xdr:rowOff>
              </from>
              <to>
                <xdr:col>5</xdr:col>
                <xdr:colOff>431321</xdr:colOff>
                <xdr:row>8</xdr:row>
                <xdr:rowOff>94891</xdr:rowOff>
              </to>
            </anchor>
          </objectPr>
        </oleObject>
      </mc:Choice>
      <mc:Fallback>
        <oleObject progId="Equation.3" shapeId="41992" r:id="rId6"/>
      </mc:Fallback>
    </mc:AlternateContent>
    <mc:AlternateContent xmlns:mc="http://schemas.openxmlformats.org/markup-compatibility/2006">
      <mc:Choice Requires="x14">
        <oleObject progId="Equation.3" shapeId="41995" r:id="rId8">
          <objectPr defaultSize="0" autoPict="0" r:id="rId9">
            <anchor moveWithCells="1" sizeWithCells="1">
              <from>
                <xdr:col>0</xdr:col>
                <xdr:colOff>1199072</xdr:colOff>
                <xdr:row>24</xdr:row>
                <xdr:rowOff>146649</xdr:rowOff>
              </from>
              <to>
                <xdr:col>1</xdr:col>
                <xdr:colOff>388189</xdr:colOff>
                <xdr:row>28</xdr:row>
                <xdr:rowOff>129396</xdr:rowOff>
              </to>
            </anchor>
          </objectPr>
        </oleObject>
      </mc:Choice>
      <mc:Fallback>
        <oleObject progId="Equation.3" shapeId="41995" r:id="rId8"/>
      </mc:Fallback>
    </mc:AlternateContent>
    <mc:AlternateContent xmlns:mc="http://schemas.openxmlformats.org/markup-compatibility/2006">
      <mc:Choice Requires="x14">
        <oleObject progId="Equation.3" shapeId="42022" r:id="rId10">
          <objectPr defaultSize="0" autoPict="0" r:id="rId11">
            <anchor moveWithCells="1" sizeWithCells="1">
              <from>
                <xdr:col>7</xdr:col>
                <xdr:colOff>517585</xdr:colOff>
                <xdr:row>11</xdr:row>
                <xdr:rowOff>17253</xdr:rowOff>
              </from>
              <to>
                <xdr:col>12</xdr:col>
                <xdr:colOff>129396</xdr:colOff>
                <xdr:row>14</xdr:row>
                <xdr:rowOff>77638</xdr:rowOff>
              </to>
            </anchor>
          </objectPr>
        </oleObject>
      </mc:Choice>
      <mc:Fallback>
        <oleObject progId="Equation.3" shapeId="42022" r:id="rId10"/>
      </mc:Fallback>
    </mc:AlternateContent>
    <mc:AlternateContent xmlns:mc="http://schemas.openxmlformats.org/markup-compatibility/2006">
      <mc:Choice Requires="x14">
        <oleObject progId="Equation.3" shapeId="42024" r:id="rId12">
          <objectPr defaultSize="0" autoPict="0" r:id="rId13">
            <anchor moveWithCells="1" sizeWithCells="1">
              <from>
                <xdr:col>6</xdr:col>
                <xdr:colOff>336430</xdr:colOff>
                <xdr:row>24</xdr:row>
                <xdr:rowOff>34506</xdr:rowOff>
              </from>
              <to>
                <xdr:col>10</xdr:col>
                <xdr:colOff>8626</xdr:colOff>
                <xdr:row>29</xdr:row>
                <xdr:rowOff>25879</xdr:rowOff>
              </to>
            </anchor>
          </objectPr>
        </oleObject>
      </mc:Choice>
      <mc:Fallback>
        <oleObject progId="Equation.3" shapeId="42024" r:id="rId12"/>
      </mc:Fallback>
    </mc:AlternateContent>
  </oleObject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4"/>
  <sheetViews>
    <sheetView workbookViewId="0">
      <selection activeCell="A19" sqref="A19:C19"/>
    </sheetView>
  </sheetViews>
  <sheetFormatPr baseColWidth="10" defaultRowHeight="12.9"/>
  <cols>
    <col min="1" max="1" width="22.125" customWidth="1"/>
    <col min="2" max="2" width="10.75" customWidth="1"/>
    <col min="9" max="9" width="12.25" bestFit="1" customWidth="1"/>
    <col min="10" max="10" width="3.375" customWidth="1"/>
  </cols>
  <sheetData>
    <row r="1" spans="1:26" ht="22.45">
      <c r="A1" s="1420" t="s">
        <v>1204</v>
      </c>
      <c r="B1" s="1421"/>
      <c r="C1" s="1421"/>
      <c r="D1" s="1421"/>
      <c r="E1" s="1421"/>
      <c r="F1" s="1422"/>
      <c r="G1" s="1422"/>
      <c r="H1" s="1422"/>
      <c r="I1" s="1422"/>
      <c r="J1" s="1422"/>
    </row>
    <row r="2" spans="1:26" ht="14.3">
      <c r="A2" s="3" t="s">
        <v>515</v>
      </c>
      <c r="B2" s="437" t="s">
        <v>513</v>
      </c>
      <c r="C2" s="463">
        <v>20.7</v>
      </c>
      <c r="I2" s="76" t="s">
        <v>1084</v>
      </c>
      <c r="J2" s="176"/>
    </row>
    <row r="3" spans="1:26" ht="14.3">
      <c r="A3" s="3" t="s">
        <v>1207</v>
      </c>
      <c r="B3" s="31" t="s">
        <v>969</v>
      </c>
      <c r="C3" s="460">
        <v>175</v>
      </c>
      <c r="I3" s="76" t="s">
        <v>1085</v>
      </c>
      <c r="J3" s="9"/>
    </row>
    <row r="4" spans="1:26" ht="14.3">
      <c r="A4" s="3" t="s">
        <v>1208</v>
      </c>
      <c r="B4" s="31" t="s">
        <v>969</v>
      </c>
      <c r="C4" s="460">
        <v>125</v>
      </c>
      <c r="Z4" s="77">
        <f>(2.38-($C3/250))*(1+($C2/(12*$C3)))</f>
        <v>1.6965599999999998</v>
      </c>
    </row>
    <row r="5" spans="1:26" ht="14.3">
      <c r="A5" s="3"/>
      <c r="B5" s="31"/>
      <c r="C5" s="460"/>
      <c r="Z5" s="77"/>
    </row>
    <row r="6" spans="1:26" ht="21.1">
      <c r="A6" s="369" t="s">
        <v>443</v>
      </c>
      <c r="B6" s="262" t="s">
        <v>1110</v>
      </c>
      <c r="C6" s="77">
        <f>(C2*1000)/C3/C4</f>
        <v>0.94628571428571429</v>
      </c>
      <c r="Z6" s="77">
        <f>(2.38-($C3/250))*(1+($C2/(6*$C3)))</f>
        <v>1.71312</v>
      </c>
    </row>
    <row r="7" spans="1:26" ht="14.95" customHeight="1">
      <c r="C7" s="1"/>
    </row>
    <row r="8" spans="1:26" ht="14.95" customHeight="1">
      <c r="C8" s="1"/>
    </row>
    <row r="9" spans="1:26" ht="14.95" customHeight="1">
      <c r="C9" s="1"/>
    </row>
    <row r="10" spans="1:26" ht="14.95" customHeight="1">
      <c r="C10" s="1"/>
    </row>
    <row r="11" spans="1:26" ht="14.95" customHeight="1">
      <c r="C11" s="1"/>
    </row>
    <row r="12" spans="1:26" ht="18.7" customHeight="1">
      <c r="A12" s="367" t="s">
        <v>441</v>
      </c>
      <c r="B12" s="31" t="s">
        <v>436</v>
      </c>
      <c r="C12" s="461">
        <v>24</v>
      </c>
      <c r="I12" s="375">
        <f>I15</f>
        <v>0.94628571428571429</v>
      </c>
      <c r="J12" s="376" t="str">
        <f>IF(I12&lt;K12,"&lt;","&gt;")</f>
        <v>&lt;</v>
      </c>
      <c r="K12" s="377">
        <f>I16</f>
        <v>6.4984615384615392</v>
      </c>
      <c r="L12" t="s">
        <v>444</v>
      </c>
    </row>
    <row r="13" spans="1:26" ht="18.350000000000001">
      <c r="A13" s="367" t="s">
        <v>434</v>
      </c>
      <c r="B13" s="4"/>
      <c r="C13" s="491">
        <v>1.1000000000000001</v>
      </c>
    </row>
    <row r="14" spans="1:26" ht="19.05" thickBot="1">
      <c r="A14" s="368" t="s">
        <v>435</v>
      </c>
      <c r="B14" s="31"/>
      <c r="C14" s="460">
        <v>1.3</v>
      </c>
    </row>
    <row r="15" spans="1:26" ht="21.1">
      <c r="A15" s="372" t="s">
        <v>442</v>
      </c>
      <c r="B15" s="523" t="s">
        <v>1110</v>
      </c>
      <c r="C15" s="371">
        <f>C12*C13/C14</f>
        <v>20.30769230769231</v>
      </c>
      <c r="I15" s="373">
        <f>C6</f>
        <v>0.94628571428571429</v>
      </c>
      <c r="K15" s="1423">
        <f>C6/C15/C16</f>
        <v>0.14561688311688309</v>
      </c>
    </row>
    <row r="16" spans="1:26" ht="16.3" thickBot="1">
      <c r="A16" s="400" t="s">
        <v>394</v>
      </c>
      <c r="B16" s="524" t="s">
        <v>571</v>
      </c>
      <c r="C16" s="522">
        <v>0.32</v>
      </c>
      <c r="I16" s="160">
        <f>C15*C16</f>
        <v>6.4984615384615392</v>
      </c>
      <c r="K16" s="1424"/>
    </row>
    <row r="17" spans="1:9">
      <c r="I17" s="374" t="s">
        <v>444</v>
      </c>
    </row>
    <row r="18" spans="1:9" ht="13.6" thickBot="1">
      <c r="B18" s="1"/>
    </row>
    <row r="19" spans="1:9" ht="13.6" thickBot="1">
      <c r="A19" s="1417" t="s">
        <v>1142</v>
      </c>
      <c r="B19" s="1418"/>
      <c r="C19" s="1419"/>
    </row>
    <row r="20" spans="1:9">
      <c r="A20" t="s">
        <v>437</v>
      </c>
      <c r="B20" s="1"/>
    </row>
    <row r="21" spans="1:9">
      <c r="B21" s="1"/>
    </row>
    <row r="22" spans="1:9">
      <c r="B22" s="1"/>
    </row>
    <row r="23" spans="1:9">
      <c r="B23" s="1"/>
    </row>
    <row r="24" spans="1:9">
      <c r="B24" s="1"/>
    </row>
  </sheetData>
  <mergeCells count="3">
    <mergeCell ref="A1:J1"/>
    <mergeCell ref="K15:K16"/>
    <mergeCell ref="A19:C19"/>
  </mergeCells>
  <phoneticPr fontId="2" type="noConversion"/>
  <hyperlinks>
    <hyperlink ref="A19" location="MENU!A1" display="RETOUR MENU"/>
    <hyperlink ref="A19:C19" location="'M2'!A1" display="RETOUR MENU"/>
    <hyperlink ref="A16" location="'5'!A1" display="kcy"/>
  </hyperlinks>
  <pageMargins left="0.78740157499999996" right="0.78740157499999996" top="0.984251969" bottom="0.984251969" header="0.4921259845" footer="0.4921259845"/>
  <headerFooter alignWithMargins="0"/>
  <drawing r:id="rId1"/>
  <legacyDrawing r:id="rId2"/>
  <oleObjects>
    <mc:AlternateContent xmlns:mc="http://schemas.openxmlformats.org/markup-compatibility/2006">
      <mc:Choice Requires="x14">
        <oleObject progId="Equation.3" shapeId="73729" r:id="rId3">
          <objectPr defaultSize="0" autoPict="0" r:id="rId4">
            <anchor moveWithCells="1" sizeWithCells="1">
              <from>
                <xdr:col>4</xdr:col>
                <xdr:colOff>603849</xdr:colOff>
                <xdr:row>2</xdr:row>
                <xdr:rowOff>25879</xdr:rowOff>
              </from>
              <to>
                <xdr:col>6</xdr:col>
                <xdr:colOff>207034</xdr:colOff>
                <xdr:row>5</xdr:row>
                <xdr:rowOff>25879</xdr:rowOff>
              </to>
            </anchor>
          </objectPr>
        </oleObject>
      </mc:Choice>
      <mc:Fallback>
        <oleObject progId="Equation.3" shapeId="73729" r:id="rId3"/>
      </mc:Fallback>
    </mc:AlternateContent>
    <mc:AlternateContent xmlns:mc="http://schemas.openxmlformats.org/markup-compatibility/2006">
      <mc:Choice Requires="x14">
        <oleObject progId="Equation.3" shapeId="73736" r:id="rId5">
          <objectPr defaultSize="0" autoPict="0" r:id="rId6">
            <anchor moveWithCells="1" sizeWithCells="1">
              <from>
                <xdr:col>4</xdr:col>
                <xdr:colOff>508958</xdr:colOff>
                <xdr:row>13</xdr:row>
                <xdr:rowOff>0</xdr:rowOff>
              </from>
              <to>
                <xdr:col>7</xdr:col>
                <xdr:colOff>215660</xdr:colOff>
                <xdr:row>16</xdr:row>
                <xdr:rowOff>94891</xdr:rowOff>
              </to>
            </anchor>
          </objectPr>
        </oleObject>
      </mc:Choice>
      <mc:Fallback>
        <oleObject progId="Equation.3" shapeId="73736" r:id="rId5"/>
      </mc:Fallback>
    </mc:AlternateContent>
    <mc:AlternateContent xmlns:mc="http://schemas.openxmlformats.org/markup-compatibility/2006">
      <mc:Choice Requires="x14">
        <oleObject progId="Equation.3" shapeId="73737" r:id="rId7">
          <objectPr defaultSize="0" autoPict="0" r:id="rId8">
            <anchor moveWithCells="1" sizeWithCells="1">
              <from>
                <xdr:col>4</xdr:col>
                <xdr:colOff>439947</xdr:colOff>
                <xdr:row>19</xdr:row>
                <xdr:rowOff>112143</xdr:rowOff>
              </from>
              <to>
                <xdr:col>6</xdr:col>
                <xdr:colOff>526211</xdr:colOff>
                <xdr:row>23</xdr:row>
                <xdr:rowOff>103517</xdr:rowOff>
              </to>
            </anchor>
          </objectPr>
        </oleObject>
      </mc:Choice>
      <mc:Fallback>
        <oleObject progId="Equation.3" shapeId="73737" r:id="rId7"/>
      </mc:Fallback>
    </mc:AlternateContent>
    <mc:AlternateContent xmlns:mc="http://schemas.openxmlformats.org/markup-compatibility/2006">
      <mc:Choice Requires="x14">
        <oleObject progId="Equation.3" shapeId="73739" r:id="rId9">
          <objectPr defaultSize="0" autoPict="0" r:id="rId10">
            <anchor moveWithCells="1" sizeWithCells="1">
              <from>
                <xdr:col>4</xdr:col>
                <xdr:colOff>526211</xdr:colOff>
                <xdr:row>10</xdr:row>
                <xdr:rowOff>60385</xdr:rowOff>
              </from>
              <to>
                <xdr:col>7</xdr:col>
                <xdr:colOff>172528</xdr:colOff>
                <xdr:row>12</xdr:row>
                <xdr:rowOff>60385</xdr:rowOff>
              </to>
            </anchor>
          </objectPr>
        </oleObject>
      </mc:Choice>
      <mc:Fallback>
        <oleObject progId="Equation.3" shapeId="73739" r:id="rId9"/>
      </mc:Fallback>
    </mc:AlternateContent>
  </oleObjec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4"/>
  <dimension ref="A1:Q21"/>
  <sheetViews>
    <sheetView workbookViewId="0">
      <selection activeCell="B8" sqref="B8"/>
    </sheetView>
  </sheetViews>
  <sheetFormatPr baseColWidth="10" defaultRowHeight="12.9"/>
  <cols>
    <col min="1" max="1" width="13.625" customWidth="1"/>
    <col min="2" max="2" width="26.625" style="1" customWidth="1"/>
    <col min="3" max="3" width="14.75" customWidth="1"/>
    <col min="4" max="4" width="14.875" style="1" customWidth="1"/>
    <col min="5" max="5" width="17.125" customWidth="1"/>
    <col min="6" max="6" width="15.25" style="1" customWidth="1"/>
    <col min="15" max="15" width="11.375" style="1" customWidth="1"/>
    <col min="17" max="17" width="11.375" style="1" customWidth="1"/>
  </cols>
  <sheetData>
    <row r="1" spans="1:17" ht="25.15">
      <c r="A1" s="1458" t="s">
        <v>99</v>
      </c>
      <c r="B1" s="1646"/>
      <c r="C1" s="1459"/>
      <c r="D1" s="1459"/>
      <c r="E1" s="1459"/>
      <c r="F1" s="1459"/>
      <c r="G1" s="1459"/>
    </row>
    <row r="2" spans="1:17" ht="13.6" thickBot="1"/>
    <row r="3" spans="1:17" ht="13.6">
      <c r="A3" s="1647" t="s">
        <v>368</v>
      </c>
      <c r="B3" s="1648"/>
      <c r="C3" s="1647" t="s">
        <v>366</v>
      </c>
      <c r="D3" s="1649"/>
      <c r="E3" s="1647" t="s">
        <v>367</v>
      </c>
      <c r="F3" s="1648"/>
    </row>
    <row r="4" spans="1:17">
      <c r="A4" s="257" t="s">
        <v>80</v>
      </c>
      <c r="B4" s="629">
        <v>30</v>
      </c>
      <c r="C4" s="257" t="s">
        <v>85</v>
      </c>
      <c r="D4" s="631">
        <v>160</v>
      </c>
      <c r="E4" s="257" t="s">
        <v>68</v>
      </c>
      <c r="F4" s="629">
        <v>40</v>
      </c>
      <c r="G4" s="261" t="s">
        <v>969</v>
      </c>
      <c r="N4" t="s">
        <v>69</v>
      </c>
      <c r="O4" s="1">
        <f>B4*B5</f>
        <v>12000</v>
      </c>
      <c r="P4" t="s">
        <v>71</v>
      </c>
      <c r="Q4" s="1">
        <f>D4*D5</f>
        <v>19200</v>
      </c>
    </row>
    <row r="5" spans="1:17">
      <c r="A5" s="257" t="s">
        <v>81</v>
      </c>
      <c r="B5" s="629">
        <v>400</v>
      </c>
      <c r="C5" s="257" t="s">
        <v>84</v>
      </c>
      <c r="D5" s="631">
        <v>120</v>
      </c>
      <c r="E5" s="257" t="s">
        <v>375</v>
      </c>
      <c r="F5" s="629">
        <v>800</v>
      </c>
      <c r="G5" s="261" t="s">
        <v>100</v>
      </c>
      <c r="N5" t="s">
        <v>70</v>
      </c>
      <c r="O5" s="1">
        <f>((B4^3)*B5)/12</f>
        <v>900000</v>
      </c>
      <c r="P5" t="s">
        <v>72</v>
      </c>
      <c r="Q5" s="1">
        <f>((D4^3)*D5)/12</f>
        <v>40960000</v>
      </c>
    </row>
    <row r="6" spans="1:17" ht="13.6" thickBot="1">
      <c r="A6" s="258" t="s">
        <v>82</v>
      </c>
      <c r="B6" s="630">
        <v>5000</v>
      </c>
      <c r="C6" s="258" t="s">
        <v>83</v>
      </c>
      <c r="D6" s="632">
        <v>11000</v>
      </c>
      <c r="E6" s="257" t="s">
        <v>76</v>
      </c>
      <c r="F6" s="629">
        <v>3600</v>
      </c>
      <c r="G6" s="261" t="s">
        <v>969</v>
      </c>
      <c r="N6" t="s">
        <v>74</v>
      </c>
      <c r="O6" s="1">
        <v>1</v>
      </c>
      <c r="P6" t="s">
        <v>73</v>
      </c>
      <c r="Q6" s="1">
        <f>(1+((9.87*B6*O4*F4)/(F5*F6^2)))^(-1)</f>
        <v>0.30443974630021142</v>
      </c>
    </row>
    <row r="7" spans="1:17" ht="13.6" thickBot="1">
      <c r="E7" s="258" t="s">
        <v>86</v>
      </c>
      <c r="F7" s="630">
        <v>4</v>
      </c>
      <c r="G7" s="261" t="s">
        <v>100</v>
      </c>
      <c r="N7" t="s">
        <v>1031</v>
      </c>
      <c r="O7" s="1">
        <f>((B4+D4)/2)-Q7</f>
        <v>87.43764372899345</v>
      </c>
      <c r="P7" t="s">
        <v>1032</v>
      </c>
      <c r="Q7" s="1">
        <f>(Q6*B6*O4*(B4+D4))/(2*((Q6*B6*O4)+(D6*Q4)))</f>
        <v>7.5623562710065446</v>
      </c>
    </row>
    <row r="8" spans="1:17">
      <c r="D8" s="261"/>
    </row>
    <row r="9" spans="1:17">
      <c r="N9" t="s">
        <v>75</v>
      </c>
      <c r="O9" s="1">
        <f>(B6*O5)+(D6*Q5)+(Q6*B6*O4*O7^2)+(D6*Q4*Q7^2)</f>
        <v>606791116221.47534</v>
      </c>
    </row>
    <row r="11" spans="1:17" ht="14.95" customHeight="1">
      <c r="A11" s="1641" t="s">
        <v>78</v>
      </c>
      <c r="B11" s="1393"/>
      <c r="C11" s="260">
        <f>F7*F6*F6/8</f>
        <v>6480000</v>
      </c>
      <c r="D11" s="261" t="s">
        <v>79</v>
      </c>
    </row>
    <row r="12" spans="1:17" ht="14.95" customHeight="1">
      <c r="A12" s="1641" t="s">
        <v>365</v>
      </c>
      <c r="B12" s="1393"/>
      <c r="C12" s="260">
        <f>F7*F6/2</f>
        <v>7200</v>
      </c>
      <c r="D12" s="261" t="s">
        <v>980</v>
      </c>
      <c r="E12" s="76" t="s">
        <v>1084</v>
      </c>
      <c r="F12" s="176"/>
    </row>
    <row r="13" spans="1:17" ht="14.95" customHeight="1">
      <c r="A13" s="332"/>
      <c r="B13" s="332"/>
      <c r="E13" s="76" t="s">
        <v>1085</v>
      </c>
      <c r="F13" s="9"/>
    </row>
    <row r="14" spans="1:17" ht="14.95" customHeight="1">
      <c r="A14" s="1644" t="s">
        <v>374</v>
      </c>
      <c r="B14" s="1645"/>
      <c r="C14" s="260">
        <f>O9</f>
        <v>606791116221.47534</v>
      </c>
      <c r="D14" s="191" t="s">
        <v>77</v>
      </c>
    </row>
    <row r="15" spans="1:17" ht="14.95" customHeight="1">
      <c r="A15" s="333"/>
      <c r="B15" s="189"/>
      <c r="C15" s="122"/>
      <c r="D15" s="191"/>
    </row>
    <row r="16" spans="1:17" ht="14.95" customHeight="1">
      <c r="A16" s="1642" t="s">
        <v>370</v>
      </c>
      <c r="B16" s="1642"/>
      <c r="C16" s="264">
        <f>Q6*B6*O7*C11/C14</f>
        <v>1.4213649226877558</v>
      </c>
      <c r="D16" s="261" t="s">
        <v>1110</v>
      </c>
    </row>
    <row r="17" spans="1:4" ht="14.95" customHeight="1">
      <c r="A17" s="1642" t="s">
        <v>371</v>
      </c>
      <c r="B17" s="1642"/>
      <c r="C17" s="264">
        <f>O6*D6*Q7*C11/C14</f>
        <v>0.88835307667984731</v>
      </c>
      <c r="D17" s="261" t="s">
        <v>1110</v>
      </c>
    </row>
    <row r="18" spans="1:4" ht="14.95" customHeight="1">
      <c r="A18" s="1642" t="s">
        <v>372</v>
      </c>
      <c r="B18" s="1642"/>
      <c r="C18" s="264">
        <f>0.5*B6*B4*C11/C14</f>
        <v>0.80093460007514794</v>
      </c>
      <c r="D18" s="261" t="s">
        <v>1110</v>
      </c>
    </row>
    <row r="19" spans="1:4" ht="14.95" customHeight="1">
      <c r="A19" s="1642" t="s">
        <v>373</v>
      </c>
      <c r="B19" s="1642"/>
      <c r="C19" s="264">
        <f>0.5*D6*D4*C11/C14</f>
        <v>9.3976326408817368</v>
      </c>
      <c r="D19" s="261" t="s">
        <v>1110</v>
      </c>
    </row>
    <row r="20" spans="1:4" ht="14.95" customHeight="1">
      <c r="A20" s="332"/>
      <c r="B20" s="332"/>
    </row>
    <row r="21" spans="1:4" ht="14.95" customHeight="1">
      <c r="A21" s="1643" t="s">
        <v>369</v>
      </c>
      <c r="B21" s="1643"/>
      <c r="C21" s="263">
        <f>Q6*B6*O4*O7*F4*C12/C14</f>
        <v>758.0612921001366</v>
      </c>
      <c r="D21" s="261" t="s">
        <v>980</v>
      </c>
    </row>
  </sheetData>
  <sheetProtection password="CCC4" sheet="1" objects="1" scenarios="1"/>
  <mergeCells count="12">
    <mergeCell ref="A1:G1"/>
    <mergeCell ref="A3:B3"/>
    <mergeCell ref="C3:D3"/>
    <mergeCell ref="E3:F3"/>
    <mergeCell ref="A11:B11"/>
    <mergeCell ref="A19:B19"/>
    <mergeCell ref="A12:B12"/>
    <mergeCell ref="A21:B21"/>
    <mergeCell ref="A14:B14"/>
    <mergeCell ref="A16:B16"/>
    <mergeCell ref="A17:B17"/>
    <mergeCell ref="A18:B18"/>
  </mergeCells>
  <phoneticPr fontId="2" type="noConversion"/>
  <pageMargins left="0.78740157499999996" right="0.78740157499999996" top="0.984251969" bottom="0.984251969" header="0.4921259845" footer="0.4921259845"/>
  <pageSetup paperSize="9"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workbookViewId="0">
      <selection activeCell="P1" sqref="P1:P9"/>
    </sheetView>
  </sheetViews>
  <sheetFormatPr baseColWidth="10" defaultColWidth="11.375" defaultRowHeight="10.9"/>
  <cols>
    <col min="1" max="1" width="30.625" style="957" customWidth="1"/>
    <col min="2" max="2" width="11.625" style="957" customWidth="1"/>
    <col min="3" max="3" width="2.25" style="955" customWidth="1"/>
    <col min="4" max="12" width="7.375" style="926" customWidth="1"/>
    <col min="13" max="13" width="2.25" style="685" customWidth="1"/>
    <col min="14" max="14" width="8.375" style="926" customWidth="1"/>
    <col min="15" max="18" width="5.625" style="926" customWidth="1"/>
    <col min="19" max="19" width="6.125" style="926" customWidth="1"/>
    <col min="20" max="16384" width="11.375" style="344"/>
  </cols>
  <sheetData>
    <row r="1" spans="1:19" ht="14.3" customHeight="1" thickBot="1">
      <c r="A1" s="965" t="s">
        <v>159</v>
      </c>
      <c r="B1" s="966" t="s">
        <v>893</v>
      </c>
      <c r="C1" s="967"/>
      <c r="D1" s="968" t="s">
        <v>894</v>
      </c>
      <c r="E1" s="969" t="s">
        <v>895</v>
      </c>
      <c r="F1" s="969" t="s">
        <v>880</v>
      </c>
      <c r="G1" s="969" t="s">
        <v>881</v>
      </c>
      <c r="H1" s="969" t="s">
        <v>882</v>
      </c>
      <c r="I1" s="969" t="s">
        <v>883</v>
      </c>
      <c r="J1" s="969" t="s">
        <v>884</v>
      </c>
      <c r="K1" s="969" t="s">
        <v>896</v>
      </c>
      <c r="L1" s="970" t="s">
        <v>897</v>
      </c>
      <c r="M1" s="953"/>
      <c r="N1" s="953"/>
      <c r="O1" s="953"/>
      <c r="P1" s="1266" t="s">
        <v>1142</v>
      </c>
      <c r="Q1" s="953"/>
      <c r="R1" s="953"/>
      <c r="S1" s="953"/>
    </row>
    <row r="2" spans="1:19" ht="14.3">
      <c r="A2" s="963" t="s">
        <v>898</v>
      </c>
      <c r="B2" s="964" t="s">
        <v>918</v>
      </c>
      <c r="D2" s="992">
        <v>14</v>
      </c>
      <c r="E2" s="993">
        <v>16</v>
      </c>
      <c r="F2" s="993">
        <v>18</v>
      </c>
      <c r="G2" s="993">
        <v>22</v>
      </c>
      <c r="H2" s="993">
        <v>24</v>
      </c>
      <c r="I2" s="993">
        <v>27</v>
      </c>
      <c r="J2" s="993">
        <v>30</v>
      </c>
      <c r="K2" s="993">
        <v>35</v>
      </c>
      <c r="L2" s="994">
        <v>40</v>
      </c>
      <c r="N2" s="934" t="s">
        <v>1110</v>
      </c>
      <c r="O2" s="685"/>
      <c r="P2" s="1267"/>
      <c r="Q2" s="685"/>
      <c r="R2" s="685"/>
      <c r="S2" s="685"/>
    </row>
    <row r="3" spans="1:19" ht="14.3">
      <c r="A3" s="984" t="s">
        <v>899</v>
      </c>
      <c r="B3" s="985" t="s">
        <v>919</v>
      </c>
      <c r="C3" s="986"/>
      <c r="D3" s="995">
        <v>8</v>
      </c>
      <c r="E3" s="996">
        <v>10</v>
      </c>
      <c r="F3" s="996">
        <v>11</v>
      </c>
      <c r="G3" s="996">
        <v>13</v>
      </c>
      <c r="H3" s="996">
        <v>14</v>
      </c>
      <c r="I3" s="996">
        <v>16</v>
      </c>
      <c r="J3" s="996">
        <v>18</v>
      </c>
      <c r="K3" s="996">
        <v>21</v>
      </c>
      <c r="L3" s="997">
        <v>24</v>
      </c>
      <c r="N3" s="1037" t="s">
        <v>1110</v>
      </c>
      <c r="O3" s="685"/>
      <c r="P3" s="1267"/>
      <c r="Q3" s="685"/>
      <c r="R3" s="685"/>
      <c r="S3" s="685"/>
    </row>
    <row r="4" spans="1:19" ht="14.3">
      <c r="A4" s="954" t="s">
        <v>900</v>
      </c>
      <c r="B4" s="929" t="s">
        <v>920</v>
      </c>
      <c r="D4" s="998">
        <v>0.4</v>
      </c>
      <c r="E4" s="654">
        <v>0.5</v>
      </c>
      <c r="F4" s="654">
        <v>0.5</v>
      </c>
      <c r="G4" s="654">
        <v>0.5</v>
      </c>
      <c r="H4" s="654">
        <v>0.5</v>
      </c>
      <c r="I4" s="654">
        <v>0.6</v>
      </c>
      <c r="J4" s="654">
        <v>0.6</v>
      </c>
      <c r="K4" s="654">
        <v>0.6</v>
      </c>
      <c r="L4" s="999">
        <v>0.6</v>
      </c>
      <c r="N4" s="934" t="s">
        <v>1110</v>
      </c>
      <c r="O4" s="685"/>
      <c r="P4" s="1267"/>
      <c r="Q4" s="685"/>
      <c r="R4" s="685"/>
      <c r="S4" s="685"/>
    </row>
    <row r="5" spans="1:19" ht="14.3">
      <c r="A5" s="984" t="s">
        <v>1080</v>
      </c>
      <c r="B5" s="985" t="s">
        <v>921</v>
      </c>
      <c r="C5" s="986"/>
      <c r="D5" s="995">
        <v>16</v>
      </c>
      <c r="E5" s="996">
        <v>17</v>
      </c>
      <c r="F5" s="996">
        <v>18</v>
      </c>
      <c r="G5" s="996">
        <v>20</v>
      </c>
      <c r="H5" s="996">
        <v>21</v>
      </c>
      <c r="I5" s="996">
        <v>232</v>
      </c>
      <c r="J5" s="996">
        <v>23</v>
      </c>
      <c r="K5" s="996">
        <v>25</v>
      </c>
      <c r="L5" s="997">
        <v>26</v>
      </c>
      <c r="N5" s="1037" t="s">
        <v>1110</v>
      </c>
      <c r="O5" s="685"/>
      <c r="P5" s="1267"/>
      <c r="Q5" s="685"/>
      <c r="R5" s="685"/>
      <c r="S5" s="685"/>
    </row>
    <row r="6" spans="1:19" ht="14.3">
      <c r="A6" s="954" t="s">
        <v>1081</v>
      </c>
      <c r="B6" s="929" t="s">
        <v>922</v>
      </c>
      <c r="D6" s="998">
        <v>2</v>
      </c>
      <c r="E6" s="654">
        <v>2.2000000000000002</v>
      </c>
      <c r="F6" s="654">
        <v>2.2000000000000002</v>
      </c>
      <c r="G6" s="654">
        <v>2.4</v>
      </c>
      <c r="H6" s="654">
        <v>2.5</v>
      </c>
      <c r="I6" s="654">
        <v>2.6</v>
      </c>
      <c r="J6" s="654">
        <v>2.7</v>
      </c>
      <c r="K6" s="654">
        <v>2.8</v>
      </c>
      <c r="L6" s="999">
        <v>2.9</v>
      </c>
      <c r="N6" s="934" t="s">
        <v>1110</v>
      </c>
      <c r="O6" s="685"/>
      <c r="P6" s="1267"/>
      <c r="Q6" s="685"/>
      <c r="R6" s="685"/>
      <c r="S6" s="685"/>
    </row>
    <row r="7" spans="1:19" ht="14.95" thickBot="1">
      <c r="A7" s="987" t="s">
        <v>901</v>
      </c>
      <c r="B7" s="988" t="s">
        <v>923</v>
      </c>
      <c r="C7" s="986"/>
      <c r="D7" s="1000">
        <v>1.7</v>
      </c>
      <c r="E7" s="1001">
        <v>1.8</v>
      </c>
      <c r="F7" s="1001">
        <v>2</v>
      </c>
      <c r="G7" s="1001">
        <v>2.4</v>
      </c>
      <c r="H7" s="1001">
        <v>2.5</v>
      </c>
      <c r="I7" s="1001">
        <v>2.8</v>
      </c>
      <c r="J7" s="1001">
        <v>3</v>
      </c>
      <c r="K7" s="1001">
        <v>3.4</v>
      </c>
      <c r="L7" s="1002">
        <v>3.8</v>
      </c>
      <c r="N7" s="1037" t="s">
        <v>1110</v>
      </c>
      <c r="O7" s="685"/>
      <c r="P7" s="1267"/>
      <c r="Q7" s="685"/>
      <c r="R7" s="685"/>
      <c r="S7" s="685"/>
    </row>
    <row r="8" spans="1:19" ht="14.3">
      <c r="A8" s="959" t="s">
        <v>902</v>
      </c>
      <c r="B8" s="960" t="s">
        <v>924</v>
      </c>
      <c r="D8" s="992">
        <v>7</v>
      </c>
      <c r="E8" s="993">
        <v>8</v>
      </c>
      <c r="F8" s="993">
        <v>9</v>
      </c>
      <c r="G8" s="993">
        <v>10</v>
      </c>
      <c r="H8" s="993">
        <v>11</v>
      </c>
      <c r="I8" s="993">
        <v>12</v>
      </c>
      <c r="J8" s="993">
        <v>12</v>
      </c>
      <c r="K8" s="993">
        <v>13</v>
      </c>
      <c r="L8" s="994">
        <v>14</v>
      </c>
      <c r="N8" s="932" t="s">
        <v>927</v>
      </c>
      <c r="O8" s="685"/>
      <c r="P8" s="1267"/>
      <c r="Q8" s="685"/>
      <c r="R8" s="685"/>
      <c r="S8" s="685"/>
    </row>
    <row r="9" spans="1:19" ht="14.3">
      <c r="A9" s="989" t="s">
        <v>903</v>
      </c>
      <c r="B9" s="990" t="s">
        <v>925</v>
      </c>
      <c r="C9" s="986"/>
      <c r="D9" s="995">
        <v>4.7</v>
      </c>
      <c r="E9" s="996">
        <v>5.4</v>
      </c>
      <c r="F9" s="996">
        <v>6</v>
      </c>
      <c r="G9" s="996">
        <v>6.7</v>
      </c>
      <c r="H9" s="996">
        <v>7.4</v>
      </c>
      <c r="I9" s="996">
        <v>8</v>
      </c>
      <c r="J9" s="996">
        <v>8</v>
      </c>
      <c r="K9" s="996">
        <v>8.6999999999999993</v>
      </c>
      <c r="L9" s="997">
        <v>9.4</v>
      </c>
      <c r="N9" s="1038" t="s">
        <v>927</v>
      </c>
      <c r="O9" s="685"/>
      <c r="P9" s="1267"/>
      <c r="Q9" s="685"/>
      <c r="R9" s="685"/>
      <c r="S9" s="685"/>
    </row>
    <row r="10" spans="1:19" ht="12.25" thickBot="1">
      <c r="A10" s="961" t="s">
        <v>904</v>
      </c>
      <c r="B10" s="962" t="s">
        <v>926</v>
      </c>
      <c r="C10" s="956"/>
      <c r="D10" s="1003">
        <v>350</v>
      </c>
      <c r="E10" s="1004">
        <v>370</v>
      </c>
      <c r="F10" s="1004">
        <v>380</v>
      </c>
      <c r="G10" s="1004">
        <v>410</v>
      </c>
      <c r="H10" s="1004">
        <v>420</v>
      </c>
      <c r="I10" s="1004">
        <v>450</v>
      </c>
      <c r="J10" s="1004">
        <v>460</v>
      </c>
      <c r="K10" s="1004">
        <v>480</v>
      </c>
      <c r="L10" s="1005">
        <v>500</v>
      </c>
      <c r="N10" s="932" t="s">
        <v>695</v>
      </c>
      <c r="O10" s="685"/>
      <c r="P10" s="685"/>
      <c r="Q10" s="685"/>
      <c r="R10" s="685"/>
      <c r="S10" s="685"/>
    </row>
    <row r="11" spans="1:19" ht="11.55" thickBot="1">
      <c r="D11" s="945"/>
      <c r="E11" s="945"/>
      <c r="F11" s="945"/>
      <c r="G11" s="945"/>
      <c r="H11" s="945"/>
      <c r="I11" s="945"/>
      <c r="J11" s="945"/>
      <c r="K11" s="945"/>
      <c r="L11" s="945"/>
    </row>
    <row r="12" spans="1:19" ht="11.55" thickBot="1">
      <c r="A12" s="971" t="s">
        <v>159</v>
      </c>
      <c r="B12" s="972" t="s">
        <v>893</v>
      </c>
      <c r="C12" s="973"/>
      <c r="D12" s="974" t="s">
        <v>905</v>
      </c>
      <c r="E12" s="975" t="s">
        <v>906</v>
      </c>
      <c r="F12" s="975" t="s">
        <v>907</v>
      </c>
      <c r="G12" s="976" t="s">
        <v>908</v>
      </c>
      <c r="H12" s="983"/>
      <c r="I12" s="974" t="s">
        <v>909</v>
      </c>
      <c r="J12" s="975" t="s">
        <v>910</v>
      </c>
      <c r="K12" s="975" t="s">
        <v>911</v>
      </c>
      <c r="L12" s="976" t="s">
        <v>912</v>
      </c>
    </row>
    <row r="13" spans="1:19" ht="14.3">
      <c r="A13" s="963" t="s">
        <v>898</v>
      </c>
      <c r="B13" s="964" t="s">
        <v>918</v>
      </c>
      <c r="D13" s="1006">
        <v>24</v>
      </c>
      <c r="E13" s="1007">
        <v>28</v>
      </c>
      <c r="F13" s="1007">
        <v>32</v>
      </c>
      <c r="G13" s="1008">
        <v>36</v>
      </c>
      <c r="H13" s="685"/>
      <c r="I13" s="1006">
        <v>24</v>
      </c>
      <c r="J13" s="1007">
        <v>28</v>
      </c>
      <c r="K13" s="1007">
        <v>32</v>
      </c>
      <c r="L13" s="1008">
        <v>36</v>
      </c>
      <c r="N13" s="934" t="s">
        <v>1110</v>
      </c>
    </row>
    <row r="14" spans="1:19" ht="14.3">
      <c r="A14" s="984" t="s">
        <v>899</v>
      </c>
      <c r="B14" s="985" t="s">
        <v>919</v>
      </c>
      <c r="C14" s="986"/>
      <c r="D14" s="1009">
        <v>16.5</v>
      </c>
      <c r="E14" s="1010">
        <v>19.5</v>
      </c>
      <c r="F14" s="1010">
        <v>22.5</v>
      </c>
      <c r="G14" s="1011">
        <v>26</v>
      </c>
      <c r="H14" s="991"/>
      <c r="I14" s="1009">
        <v>14</v>
      </c>
      <c r="J14" s="1010">
        <v>16.5</v>
      </c>
      <c r="K14" s="1010">
        <v>19.5</v>
      </c>
      <c r="L14" s="1011">
        <v>22.5</v>
      </c>
      <c r="N14" s="1037" t="s">
        <v>1110</v>
      </c>
    </row>
    <row r="15" spans="1:19" ht="14.3">
      <c r="A15" s="954" t="s">
        <v>900</v>
      </c>
      <c r="B15" s="929" t="s">
        <v>920</v>
      </c>
      <c r="D15" s="1012">
        <v>0.4</v>
      </c>
      <c r="E15" s="1013">
        <v>0.45</v>
      </c>
      <c r="F15" s="1013">
        <v>0.5</v>
      </c>
      <c r="G15" s="1014">
        <v>0.6</v>
      </c>
      <c r="H15" s="685"/>
      <c r="I15" s="1012">
        <v>0.35</v>
      </c>
      <c r="J15" s="1013">
        <v>0.4</v>
      </c>
      <c r="K15" s="1013">
        <v>0.45</v>
      </c>
      <c r="L15" s="1014">
        <v>0.5</v>
      </c>
      <c r="N15" s="934" t="s">
        <v>1110</v>
      </c>
    </row>
    <row r="16" spans="1:19" ht="14.3">
      <c r="A16" s="984" t="s">
        <v>1080</v>
      </c>
      <c r="B16" s="985" t="s">
        <v>921</v>
      </c>
      <c r="C16" s="986"/>
      <c r="D16" s="1009">
        <v>24</v>
      </c>
      <c r="E16" s="1010">
        <v>26.5</v>
      </c>
      <c r="F16" s="1010">
        <v>29</v>
      </c>
      <c r="G16" s="1011">
        <v>31</v>
      </c>
      <c r="H16" s="991"/>
      <c r="I16" s="1009">
        <v>21</v>
      </c>
      <c r="J16" s="1010">
        <v>24</v>
      </c>
      <c r="K16" s="1010">
        <v>26.5</v>
      </c>
      <c r="L16" s="1011">
        <v>29</v>
      </c>
      <c r="N16" s="1037" t="s">
        <v>1110</v>
      </c>
    </row>
    <row r="17" spans="1:14" ht="14.3">
      <c r="A17" s="954" t="s">
        <v>1081</v>
      </c>
      <c r="B17" s="929" t="s">
        <v>922</v>
      </c>
      <c r="D17" s="1012">
        <v>2.7</v>
      </c>
      <c r="E17" s="1013">
        <v>3</v>
      </c>
      <c r="F17" s="1013">
        <v>3.3</v>
      </c>
      <c r="G17" s="1014">
        <v>3.6</v>
      </c>
      <c r="H17" s="685"/>
      <c r="I17" s="1012">
        <v>2.4</v>
      </c>
      <c r="J17" s="1013">
        <v>2.7</v>
      </c>
      <c r="K17" s="1013">
        <v>3</v>
      </c>
      <c r="L17" s="1014">
        <v>3.3</v>
      </c>
      <c r="N17" s="934" t="s">
        <v>1110</v>
      </c>
    </row>
    <row r="18" spans="1:14" ht="14.95" thickBot="1">
      <c r="A18" s="987" t="s">
        <v>901</v>
      </c>
      <c r="B18" s="988" t="s">
        <v>923</v>
      </c>
      <c r="C18" s="986"/>
      <c r="D18" s="1015">
        <v>2.7</v>
      </c>
      <c r="E18" s="1016">
        <v>3.2</v>
      </c>
      <c r="F18" s="1016">
        <v>3.8</v>
      </c>
      <c r="G18" s="1017">
        <v>4.3</v>
      </c>
      <c r="H18" s="991"/>
      <c r="I18" s="1015">
        <v>2.2000000000000002</v>
      </c>
      <c r="J18" s="1016">
        <v>2.7</v>
      </c>
      <c r="K18" s="1016">
        <v>3.2</v>
      </c>
      <c r="L18" s="1017">
        <v>3.8</v>
      </c>
      <c r="N18" s="1037" t="s">
        <v>1110</v>
      </c>
    </row>
    <row r="19" spans="1:14" ht="14.3">
      <c r="A19" s="959" t="s">
        <v>902</v>
      </c>
      <c r="B19" s="960" t="s">
        <v>924</v>
      </c>
      <c r="D19" s="1018">
        <v>11.6</v>
      </c>
      <c r="E19" s="1019">
        <v>12.6</v>
      </c>
      <c r="F19" s="1019">
        <v>13.7</v>
      </c>
      <c r="G19" s="1020">
        <v>14.7</v>
      </c>
      <c r="H19" s="685"/>
      <c r="I19" s="1018">
        <v>11.6</v>
      </c>
      <c r="J19" s="1019">
        <v>12.6</v>
      </c>
      <c r="K19" s="1019">
        <v>13.7</v>
      </c>
      <c r="L19" s="1020">
        <v>14.7</v>
      </c>
      <c r="N19" s="932" t="s">
        <v>927</v>
      </c>
    </row>
    <row r="20" spans="1:14" ht="14.3">
      <c r="A20" s="989" t="s">
        <v>903</v>
      </c>
      <c r="B20" s="990" t="s">
        <v>925</v>
      </c>
      <c r="C20" s="986"/>
      <c r="D20" s="1021">
        <v>9.4</v>
      </c>
      <c r="E20" s="1022">
        <v>10.199999999999999</v>
      </c>
      <c r="F20" s="1022">
        <v>11.1</v>
      </c>
      <c r="G20" s="1023">
        <v>11.9</v>
      </c>
      <c r="H20" s="991"/>
      <c r="I20" s="1021">
        <v>9.4</v>
      </c>
      <c r="J20" s="1022">
        <v>10.199999999999999</v>
      </c>
      <c r="K20" s="1022">
        <v>11.1</v>
      </c>
      <c r="L20" s="1023">
        <v>11.9</v>
      </c>
      <c r="N20" s="1038" t="s">
        <v>927</v>
      </c>
    </row>
    <row r="21" spans="1:14" ht="12.25" thickBot="1">
      <c r="A21" s="961" t="s">
        <v>904</v>
      </c>
      <c r="B21" s="962" t="s">
        <v>926</v>
      </c>
      <c r="C21" s="344"/>
      <c r="D21" s="1024">
        <v>440</v>
      </c>
      <c r="E21" s="1025">
        <v>480</v>
      </c>
      <c r="F21" s="1025">
        <v>520</v>
      </c>
      <c r="G21" s="1026">
        <v>560</v>
      </c>
      <c r="H21" s="958"/>
      <c r="I21" s="1027">
        <v>420</v>
      </c>
      <c r="J21" s="1028">
        <v>460</v>
      </c>
      <c r="K21" s="1028">
        <v>500</v>
      </c>
      <c r="L21" s="1029">
        <v>540</v>
      </c>
      <c r="N21" s="932" t="s">
        <v>695</v>
      </c>
    </row>
    <row r="22" spans="1:14" ht="11.55" thickBot="1"/>
    <row r="23" spans="1:14" ht="11.55" thickBot="1">
      <c r="A23" s="977" t="s">
        <v>159</v>
      </c>
      <c r="B23" s="978" t="s">
        <v>893</v>
      </c>
      <c r="C23" s="979"/>
      <c r="D23" s="980" t="s">
        <v>928</v>
      </c>
      <c r="E23" s="981" t="s">
        <v>913</v>
      </c>
      <c r="F23" s="981" t="s">
        <v>914</v>
      </c>
      <c r="G23" s="981" t="s">
        <v>915</v>
      </c>
      <c r="H23" s="981" t="s">
        <v>916</v>
      </c>
      <c r="I23" s="982" t="s">
        <v>917</v>
      </c>
      <c r="J23" s="953"/>
      <c r="K23" s="953"/>
      <c r="L23" s="953"/>
      <c r="M23" s="953"/>
    </row>
    <row r="24" spans="1:14" ht="14.3">
      <c r="A24" s="963" t="s">
        <v>898</v>
      </c>
      <c r="B24" s="964" t="s">
        <v>918</v>
      </c>
      <c r="D24" s="1030">
        <v>30</v>
      </c>
      <c r="E24" s="992">
        <v>35</v>
      </c>
      <c r="F24" s="993">
        <v>40</v>
      </c>
      <c r="G24" s="993">
        <v>50</v>
      </c>
      <c r="H24" s="993">
        <v>60</v>
      </c>
      <c r="I24" s="994">
        <v>70</v>
      </c>
      <c r="J24" s="685"/>
      <c r="K24" s="685"/>
      <c r="L24" s="685"/>
      <c r="N24" s="934" t="s">
        <v>1110</v>
      </c>
    </row>
    <row r="25" spans="1:14" ht="14.3">
      <c r="A25" s="984" t="s">
        <v>899</v>
      </c>
      <c r="B25" s="985" t="s">
        <v>919</v>
      </c>
      <c r="C25" s="986"/>
      <c r="D25" s="1031">
        <v>18</v>
      </c>
      <c r="E25" s="995">
        <v>21</v>
      </c>
      <c r="F25" s="996">
        <v>24</v>
      </c>
      <c r="G25" s="996">
        <v>30</v>
      </c>
      <c r="H25" s="996">
        <v>36</v>
      </c>
      <c r="I25" s="997">
        <v>42</v>
      </c>
      <c r="J25" s="685"/>
      <c r="K25" s="685"/>
      <c r="L25" s="685"/>
      <c r="N25" s="1037" t="s">
        <v>1110</v>
      </c>
    </row>
    <row r="26" spans="1:14" ht="14.3">
      <c r="A26" s="954" t="s">
        <v>900</v>
      </c>
      <c r="B26" s="929" t="s">
        <v>920</v>
      </c>
      <c r="D26" s="1032">
        <v>0.6</v>
      </c>
      <c r="E26" s="998">
        <v>0.6</v>
      </c>
      <c r="F26" s="654">
        <v>0.6</v>
      </c>
      <c r="G26" s="654">
        <v>0.6</v>
      </c>
      <c r="H26" s="654">
        <v>0.7</v>
      </c>
      <c r="I26" s="999">
        <v>0.9</v>
      </c>
      <c r="J26" s="685"/>
      <c r="K26" s="685"/>
      <c r="L26" s="685"/>
      <c r="N26" s="934" t="s">
        <v>1110</v>
      </c>
    </row>
    <row r="27" spans="1:14" ht="14.3">
      <c r="A27" s="984" t="s">
        <v>1080</v>
      </c>
      <c r="B27" s="985" t="s">
        <v>921</v>
      </c>
      <c r="C27" s="986"/>
      <c r="D27" s="1031">
        <v>23</v>
      </c>
      <c r="E27" s="995">
        <v>25</v>
      </c>
      <c r="F27" s="996">
        <v>26</v>
      </c>
      <c r="G27" s="996">
        <v>29</v>
      </c>
      <c r="H27" s="996">
        <v>32</v>
      </c>
      <c r="I27" s="997">
        <v>34</v>
      </c>
      <c r="J27" s="685"/>
      <c r="K27" s="685"/>
      <c r="L27" s="685"/>
      <c r="N27" s="1037" t="s">
        <v>1110</v>
      </c>
    </row>
    <row r="28" spans="1:14" ht="14.3">
      <c r="A28" s="954" t="s">
        <v>1081</v>
      </c>
      <c r="B28" s="929" t="s">
        <v>922</v>
      </c>
      <c r="D28" s="1032">
        <v>8</v>
      </c>
      <c r="E28" s="998">
        <v>8.4</v>
      </c>
      <c r="F28" s="654">
        <v>8.8000000000000007</v>
      </c>
      <c r="G28" s="654">
        <v>9.6999999999999993</v>
      </c>
      <c r="H28" s="654">
        <v>10.5</v>
      </c>
      <c r="I28" s="999">
        <v>13.5</v>
      </c>
      <c r="J28" s="685"/>
      <c r="K28" s="685"/>
      <c r="L28" s="685"/>
      <c r="N28" s="934" t="s">
        <v>1110</v>
      </c>
    </row>
    <row r="29" spans="1:14" ht="14.95" thickBot="1">
      <c r="A29" s="987" t="s">
        <v>901</v>
      </c>
      <c r="B29" s="988" t="s">
        <v>923</v>
      </c>
      <c r="C29" s="986"/>
      <c r="D29" s="1033">
        <v>3</v>
      </c>
      <c r="E29" s="1000">
        <v>3.4</v>
      </c>
      <c r="F29" s="1001">
        <v>3.8</v>
      </c>
      <c r="G29" s="1001">
        <v>4.5999999999999996</v>
      </c>
      <c r="H29" s="1001">
        <v>5.3</v>
      </c>
      <c r="I29" s="1002">
        <v>6</v>
      </c>
      <c r="J29" s="685"/>
      <c r="K29" s="685"/>
      <c r="L29" s="685"/>
      <c r="N29" s="1037" t="s">
        <v>1110</v>
      </c>
    </row>
    <row r="30" spans="1:14" ht="14.3">
      <c r="A30" s="959" t="s">
        <v>902</v>
      </c>
      <c r="B30" s="960" t="s">
        <v>924</v>
      </c>
      <c r="D30" s="992">
        <v>10</v>
      </c>
      <c r="E30" s="993">
        <v>10</v>
      </c>
      <c r="F30" s="993">
        <v>11</v>
      </c>
      <c r="G30" s="993">
        <v>14</v>
      </c>
      <c r="H30" s="993">
        <v>17</v>
      </c>
      <c r="I30" s="994">
        <v>20</v>
      </c>
      <c r="J30" s="685"/>
      <c r="K30" s="685"/>
      <c r="L30" s="685"/>
      <c r="N30" s="932" t="s">
        <v>927</v>
      </c>
    </row>
    <row r="31" spans="1:14" ht="14.3">
      <c r="A31" s="989" t="s">
        <v>903</v>
      </c>
      <c r="B31" s="990" t="s">
        <v>925</v>
      </c>
      <c r="C31" s="986"/>
      <c r="D31" s="995">
        <v>8</v>
      </c>
      <c r="E31" s="996">
        <v>8.6999999999999993</v>
      </c>
      <c r="F31" s="996">
        <v>9.4</v>
      </c>
      <c r="G31" s="996">
        <v>11.8</v>
      </c>
      <c r="H31" s="996">
        <v>14.3</v>
      </c>
      <c r="I31" s="997">
        <v>16.8</v>
      </c>
      <c r="J31" s="685"/>
      <c r="K31" s="685"/>
      <c r="L31" s="685"/>
      <c r="N31" s="1038" t="s">
        <v>927</v>
      </c>
    </row>
    <row r="32" spans="1:14" ht="12.25" thickBot="1">
      <c r="A32" s="961" t="s">
        <v>904</v>
      </c>
      <c r="B32" s="962" t="s">
        <v>926</v>
      </c>
      <c r="D32" s="1034">
        <v>650</v>
      </c>
      <c r="E32" s="1035">
        <v>680</v>
      </c>
      <c r="F32" s="1035">
        <v>720</v>
      </c>
      <c r="G32" s="1035">
        <v>790</v>
      </c>
      <c r="H32" s="1035">
        <v>840</v>
      </c>
      <c r="I32" s="1036">
        <v>1090</v>
      </c>
      <c r="N32" s="932" t="s">
        <v>695</v>
      </c>
    </row>
    <row r="37" spans="4:9">
      <c r="D37" s="928"/>
      <c r="E37" s="931">
        <v>100</v>
      </c>
      <c r="F37" s="931">
        <v>150</v>
      </c>
      <c r="G37" s="931">
        <v>180</v>
      </c>
      <c r="H37" s="931">
        <v>220</v>
      </c>
      <c r="I37" s="931">
        <v>280</v>
      </c>
    </row>
    <row r="38" spans="4:9">
      <c r="D38" s="931">
        <v>80</v>
      </c>
      <c r="E38" s="928" t="s">
        <v>31</v>
      </c>
      <c r="F38" s="928" t="s">
        <v>31</v>
      </c>
      <c r="G38" s="928" t="s">
        <v>31</v>
      </c>
      <c r="H38" s="928" t="s">
        <v>31</v>
      </c>
      <c r="I38" s="928" t="s">
        <v>31</v>
      </c>
    </row>
    <row r="39" spans="4:9">
      <c r="D39" s="931">
        <v>100</v>
      </c>
      <c r="E39" s="928" t="s">
        <v>31</v>
      </c>
      <c r="F39" s="928" t="s">
        <v>31</v>
      </c>
      <c r="G39" s="928" t="s">
        <v>31</v>
      </c>
      <c r="H39" s="928" t="s">
        <v>31</v>
      </c>
      <c r="I39" s="928" t="s">
        <v>31</v>
      </c>
    </row>
    <row r="40" spans="4:9">
      <c r="D40" s="931">
        <v>120</v>
      </c>
      <c r="E40" s="928" t="s">
        <v>31</v>
      </c>
      <c r="F40" s="928" t="s">
        <v>31</v>
      </c>
      <c r="G40" s="928" t="s">
        <v>31</v>
      </c>
      <c r="H40" s="928" t="s">
        <v>31</v>
      </c>
      <c r="I40" s="928" t="s">
        <v>31</v>
      </c>
    </row>
    <row r="41" spans="4:9">
      <c r="D41" s="931">
        <v>200</v>
      </c>
      <c r="E41" s="928" t="s">
        <v>31</v>
      </c>
      <c r="F41" s="928" t="s">
        <v>31</v>
      </c>
      <c r="G41" s="928" t="s">
        <v>31</v>
      </c>
      <c r="H41" s="928" t="s">
        <v>31</v>
      </c>
      <c r="I41" s="928" t="s">
        <v>31</v>
      </c>
    </row>
    <row r="42" spans="4:9">
      <c r="D42" s="1079" t="s">
        <v>110</v>
      </c>
    </row>
  </sheetData>
  <mergeCells count="1">
    <mergeCell ref="P1:P9"/>
  </mergeCells>
  <phoneticPr fontId="2" type="noConversion"/>
  <hyperlinks>
    <hyperlink ref="P1:P9" location="'M2'!A1" display="RETOUR MENU"/>
  </hyperlink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234"/>
  <sheetViews>
    <sheetView zoomScale="115" workbookViewId="0">
      <selection activeCell="N37" sqref="N37"/>
    </sheetView>
  </sheetViews>
  <sheetFormatPr baseColWidth="10" defaultRowHeight="12.9"/>
  <cols>
    <col min="1" max="1" width="8.75" customWidth="1"/>
    <col min="2" max="2" width="7.875" customWidth="1"/>
    <col min="3" max="3" width="4.875" customWidth="1"/>
    <col min="4" max="4" width="6.75" customWidth="1"/>
    <col min="5" max="5" width="7" customWidth="1"/>
    <col min="6" max="6" width="3.75" customWidth="1"/>
    <col min="7" max="8" width="6.75" customWidth="1"/>
    <col min="9" max="9" width="3.75" customWidth="1"/>
    <col min="10" max="11" width="6.75" customWidth="1"/>
    <col min="12" max="12" width="3.75" customWidth="1"/>
    <col min="13" max="13" width="6.75" customWidth="1"/>
    <col min="14" max="14" width="11.25" customWidth="1"/>
    <col min="15" max="15" width="7.125" customWidth="1"/>
    <col min="17" max="17" width="3.25" customWidth="1"/>
    <col min="21" max="21" width="5.75" customWidth="1"/>
    <col min="26" max="26" width="6.625" customWidth="1"/>
    <col min="27" max="27" width="34.625" customWidth="1"/>
    <col min="28" max="35" width="6.625" customWidth="1"/>
    <col min="36" max="36" width="41.75" customWidth="1"/>
    <col min="37" max="44" width="6.625" customWidth="1"/>
    <col min="51" max="51" width="13.375" customWidth="1"/>
    <col min="56" max="56" width="18" customWidth="1"/>
  </cols>
  <sheetData>
    <row r="1" spans="1:50" ht="19.55" customHeight="1">
      <c r="A1" s="1268" t="s">
        <v>701</v>
      </c>
      <c r="B1" s="1269"/>
      <c r="C1" s="1269"/>
      <c r="D1" s="1269"/>
      <c r="E1" s="1269"/>
      <c r="F1" s="1269"/>
      <c r="G1" s="1269"/>
      <c r="H1" s="1269"/>
      <c r="I1" s="1269"/>
      <c r="J1" s="1269"/>
      <c r="K1" s="1269"/>
      <c r="L1" s="1269"/>
      <c r="M1" s="1269"/>
      <c r="N1" s="1269"/>
      <c r="O1" s="1270"/>
      <c r="Z1" s="633">
        <v>1</v>
      </c>
      <c r="AA1" s="661" t="s">
        <v>702</v>
      </c>
      <c r="AB1" s="662">
        <v>0.3</v>
      </c>
      <c r="AH1" t="s">
        <v>1215</v>
      </c>
      <c r="AI1" s="633">
        <f>AD12</f>
        <v>0.9</v>
      </c>
      <c r="AJ1" s="76" t="s">
        <v>703</v>
      </c>
      <c r="AK1" s="663">
        <v>0.6</v>
      </c>
      <c r="AM1" s="633">
        <v>3</v>
      </c>
      <c r="AN1" t="s">
        <v>704</v>
      </c>
    </row>
    <row r="2" spans="1:50" ht="15.8" customHeight="1">
      <c r="A2" s="668" t="s">
        <v>1212</v>
      </c>
      <c r="B2" s="451"/>
      <c r="C2" s="451"/>
      <c r="D2" s="452"/>
      <c r="E2" s="669"/>
      <c r="F2" s="287"/>
      <c r="I2" s="397" t="s">
        <v>705</v>
      </c>
      <c r="J2" s="665">
        <v>1</v>
      </c>
      <c r="K2" s="666" t="s">
        <v>706</v>
      </c>
      <c r="M2" s="1271" t="s">
        <v>867</v>
      </c>
      <c r="N2" s="1272"/>
      <c r="O2" s="1273"/>
      <c r="Z2">
        <f>INDEX(AB1:AB8,Z1,1)</f>
        <v>0.3</v>
      </c>
      <c r="AA2" s="667" t="s">
        <v>707</v>
      </c>
      <c r="AB2" s="662">
        <v>0.3</v>
      </c>
      <c r="AD2" t="s">
        <v>708</v>
      </c>
      <c r="AF2">
        <f>J2*1.35</f>
        <v>1.35</v>
      </c>
      <c r="AG2">
        <f>AF2/0.6*AN6</f>
        <v>2.9250000000000007</v>
      </c>
      <c r="AI2" s="633">
        <v>2</v>
      </c>
      <c r="AJ2" s="76" t="s">
        <v>709</v>
      </c>
      <c r="AK2" s="663">
        <v>0.8</v>
      </c>
      <c r="AN2" t="s">
        <v>710</v>
      </c>
    </row>
    <row r="3" spans="1:50" ht="15.8" customHeight="1">
      <c r="A3" s="668" t="s">
        <v>711</v>
      </c>
      <c r="B3" s="451"/>
      <c r="C3" s="451"/>
      <c r="D3" s="452"/>
      <c r="E3" s="669"/>
      <c r="F3" s="287"/>
      <c r="I3" s="76" t="s">
        <v>712</v>
      </c>
      <c r="J3" s="665">
        <v>0.33</v>
      </c>
      <c r="K3" s="666" t="s">
        <v>706</v>
      </c>
      <c r="AA3" s="667" t="s">
        <v>713</v>
      </c>
      <c r="AB3" s="662">
        <v>0.6</v>
      </c>
      <c r="AI3" s="633">
        <f>INDEX(AK1:AK3,AI2,1)</f>
        <v>0.8</v>
      </c>
      <c r="AJ3" s="76" t="s">
        <v>714</v>
      </c>
      <c r="AK3" s="663">
        <v>2</v>
      </c>
      <c r="AN3" t="s">
        <v>715</v>
      </c>
    </row>
    <row r="4" spans="1:50" ht="15.8" customHeight="1">
      <c r="A4" s="668" t="s">
        <v>716</v>
      </c>
      <c r="B4" s="451"/>
      <c r="C4" s="451"/>
      <c r="D4" s="452"/>
      <c r="E4" s="669"/>
      <c r="F4" s="287"/>
      <c r="I4" s="76" t="s">
        <v>717</v>
      </c>
      <c r="J4" s="665">
        <v>1</v>
      </c>
      <c r="K4" s="666" t="s">
        <v>706</v>
      </c>
      <c r="AA4" s="667" t="s">
        <v>718</v>
      </c>
      <c r="AB4" s="662">
        <v>0.6</v>
      </c>
      <c r="AD4" t="s">
        <v>719</v>
      </c>
      <c r="AF4">
        <f>(1.35*J2)+(1.5*J3)</f>
        <v>1.8450000000000002</v>
      </c>
      <c r="AG4">
        <f>AF4/AI1*AN6</f>
        <v>2.6650000000000005</v>
      </c>
    </row>
    <row r="5" spans="1:50" ht="15.8" customHeight="1">
      <c r="A5" s="668" t="s">
        <v>1209</v>
      </c>
      <c r="B5" s="451"/>
      <c r="C5" s="451"/>
      <c r="D5" s="452"/>
      <c r="E5" s="1162"/>
      <c r="F5" s="670"/>
      <c r="I5" s="85" t="s">
        <v>721</v>
      </c>
      <c r="J5" s="671"/>
      <c r="K5" s="666"/>
      <c r="AA5" s="667" t="s">
        <v>722</v>
      </c>
      <c r="AB5" s="662">
        <v>0.8</v>
      </c>
      <c r="AD5" t="s">
        <v>723</v>
      </c>
      <c r="AF5" s="15">
        <f>J2+J4</f>
        <v>2</v>
      </c>
      <c r="AG5">
        <f>AF5/1.1</f>
        <v>1.8181818181818181</v>
      </c>
    </row>
    <row r="6" spans="1:50" ht="14.3" customHeight="1">
      <c r="A6" s="287"/>
      <c r="B6" s="625"/>
      <c r="C6" s="625"/>
      <c r="D6" s="625"/>
      <c r="E6" s="1163"/>
      <c r="I6" s="85"/>
      <c r="J6" s="671"/>
      <c r="K6" s="666"/>
      <c r="AA6" s="672" t="s">
        <v>724</v>
      </c>
      <c r="AB6" s="662">
        <v>0.6</v>
      </c>
      <c r="AK6" t="s">
        <v>1091</v>
      </c>
      <c r="AL6">
        <v>1</v>
      </c>
      <c r="AM6">
        <v>1.3</v>
      </c>
      <c r="AN6">
        <f>INDEX(AM6:AM8,AL6,1)</f>
        <v>1.3</v>
      </c>
      <c r="AX6" t="s">
        <v>878</v>
      </c>
    </row>
    <row r="7" spans="1:50" ht="14.3" customHeight="1" thickBot="1">
      <c r="AA7" s="672" t="s">
        <v>725</v>
      </c>
      <c r="AB7" s="662">
        <v>0.3</v>
      </c>
      <c r="AK7" t="s">
        <v>1092</v>
      </c>
      <c r="AM7">
        <v>1.25</v>
      </c>
      <c r="AX7" t="s">
        <v>879</v>
      </c>
    </row>
    <row r="8" spans="1:50" ht="14.3" customHeight="1" thickBot="1">
      <c r="A8" s="1274" t="s">
        <v>726</v>
      </c>
      <c r="B8" s="1275"/>
      <c r="C8" s="1275"/>
      <c r="D8" s="1275"/>
      <c r="E8" s="1275"/>
      <c r="F8" s="1275"/>
      <c r="G8" s="1275"/>
      <c r="H8" s="1276"/>
      <c r="K8" s="673" t="s">
        <v>727</v>
      </c>
      <c r="L8" s="674" t="s">
        <v>728</v>
      </c>
      <c r="M8" s="675"/>
      <c r="N8" s="676"/>
      <c r="P8" s="677"/>
      <c r="Q8" s="677"/>
      <c r="AA8" s="667" t="s">
        <v>729</v>
      </c>
      <c r="AB8" s="678">
        <v>0</v>
      </c>
      <c r="AK8" t="s">
        <v>1210</v>
      </c>
      <c r="AM8">
        <v>1.2</v>
      </c>
      <c r="AX8" t="s">
        <v>1216</v>
      </c>
    </row>
    <row r="9" spans="1:50" ht="14.3" customHeight="1">
      <c r="A9" s="948" t="s">
        <v>730</v>
      </c>
      <c r="B9" s="679" t="s">
        <v>731</v>
      </c>
      <c r="C9" s="680" t="s">
        <v>727</v>
      </c>
      <c r="D9" s="681">
        <v>1.35</v>
      </c>
      <c r="E9" s="682" t="s">
        <v>705</v>
      </c>
      <c r="F9" s="683" t="s">
        <v>732</v>
      </c>
      <c r="G9" s="681">
        <v>1.5</v>
      </c>
      <c r="H9" s="684" t="s">
        <v>733</v>
      </c>
      <c r="J9" s="1277"/>
      <c r="K9" s="1278"/>
      <c r="L9" s="1278"/>
      <c r="M9" s="1278"/>
      <c r="N9" s="1278"/>
      <c r="O9" s="1278"/>
    </row>
    <row r="10" spans="1:50" hidden="1">
      <c r="A10" s="1279" t="s">
        <v>734</v>
      </c>
      <c r="B10" s="686" t="s">
        <v>735</v>
      </c>
      <c r="C10" s="687" t="s">
        <v>727</v>
      </c>
      <c r="D10" s="688"/>
      <c r="E10" s="689"/>
      <c r="F10" s="690"/>
      <c r="G10" s="688">
        <v>1</v>
      </c>
      <c r="H10" s="691" t="s">
        <v>733</v>
      </c>
      <c r="K10" s="692"/>
      <c r="L10" s="287"/>
      <c r="M10" s="287"/>
      <c r="N10" s="287"/>
      <c r="O10" s="287"/>
    </row>
    <row r="11" spans="1:50" hidden="1">
      <c r="A11" s="1279"/>
      <c r="B11" s="693" t="s">
        <v>736</v>
      </c>
      <c r="C11" s="694"/>
      <c r="D11" s="695">
        <f>AI3</f>
        <v>0.8</v>
      </c>
      <c r="E11" s="696" t="s">
        <v>705</v>
      </c>
      <c r="F11" s="697"/>
      <c r="G11" s="695">
        <f>Z2*AI3</f>
        <v>0.24</v>
      </c>
      <c r="H11" s="698" t="s">
        <v>733</v>
      </c>
      <c r="I11" s="2" t="s">
        <v>737</v>
      </c>
      <c r="K11" s="699"/>
      <c r="L11" s="699"/>
      <c r="M11" s="699"/>
      <c r="N11" s="699"/>
      <c r="O11" s="699"/>
    </row>
    <row r="12" spans="1:50" ht="14.3" thickBot="1">
      <c r="A12" s="1280"/>
      <c r="B12" s="700" t="s">
        <v>1076</v>
      </c>
      <c r="C12" s="700" t="s">
        <v>727</v>
      </c>
      <c r="D12" s="701">
        <f>1+D11</f>
        <v>1.8</v>
      </c>
      <c r="E12" s="702" t="str">
        <f>E11</f>
        <v>G</v>
      </c>
      <c r="F12" s="703" t="s">
        <v>732</v>
      </c>
      <c r="G12" s="701">
        <f>G11+G10</f>
        <v>1.24</v>
      </c>
      <c r="H12" s="704" t="str">
        <f>H11</f>
        <v>Q</v>
      </c>
      <c r="I12" s="2"/>
      <c r="K12" s="705"/>
      <c r="L12" s="706"/>
      <c r="M12" s="707"/>
      <c r="N12" s="708"/>
      <c r="O12" s="709"/>
      <c r="Z12">
        <v>1</v>
      </c>
      <c r="AA12" t="s">
        <v>1213</v>
      </c>
      <c r="AB12">
        <v>0.9</v>
      </c>
      <c r="AC12">
        <v>0.7</v>
      </c>
      <c r="AD12">
        <f>IF(AI2=3,(INDEX(AC12:AC14,Z12,1)),(INDEX(AB12:AB14,Z12,1)))</f>
        <v>0.9</v>
      </c>
    </row>
    <row r="13" spans="1:50" ht="14.3" thickBot="1">
      <c r="A13" s="275"/>
      <c r="C13" s="212"/>
      <c r="D13" s="261"/>
      <c r="E13" s="710"/>
      <c r="H13" s="711"/>
      <c r="K13" s="705"/>
      <c r="L13" s="706"/>
      <c r="M13" s="707"/>
      <c r="N13" s="708"/>
      <c r="O13" s="709"/>
      <c r="AA13" t="s">
        <v>1214</v>
      </c>
      <c r="AB13">
        <v>0.8</v>
      </c>
      <c r="AC13">
        <v>0.65</v>
      </c>
    </row>
    <row r="14" spans="1:50" ht="16.3" thickBot="1">
      <c r="A14" s="1281" t="s">
        <v>739</v>
      </c>
      <c r="B14" s="1282"/>
      <c r="C14" s="1282"/>
      <c r="D14" s="1282"/>
      <c r="E14" s="1282"/>
      <c r="F14" s="1282"/>
      <c r="G14" s="1282"/>
      <c r="H14" s="1283"/>
      <c r="K14" s="705"/>
      <c r="L14" s="706"/>
      <c r="M14" s="707"/>
      <c r="N14" s="708"/>
      <c r="O14" s="709"/>
      <c r="AA14" t="s">
        <v>1211</v>
      </c>
      <c r="AB14">
        <v>0.9</v>
      </c>
      <c r="AC14">
        <v>0.65</v>
      </c>
    </row>
    <row r="15" spans="1:50">
      <c r="A15" s="1284" t="s">
        <v>730</v>
      </c>
      <c r="B15" s="1286" t="s">
        <v>731</v>
      </c>
      <c r="C15" s="687" t="str">
        <f>IF(AG2=MAX($AG$2:$AG$5),"►","")</f>
        <v>►</v>
      </c>
      <c r="D15" s="688">
        <v>1.35</v>
      </c>
      <c r="E15" s="689" t="s">
        <v>705</v>
      </c>
      <c r="F15" s="690"/>
      <c r="G15" s="688"/>
      <c r="H15" s="712"/>
      <c r="I15" s="2" t="s">
        <v>140</v>
      </c>
      <c r="K15" s="705"/>
      <c r="L15" s="706"/>
      <c r="N15" s="708"/>
      <c r="O15" s="709"/>
    </row>
    <row r="16" spans="1:50">
      <c r="A16" s="1285"/>
      <c r="B16" s="1287"/>
      <c r="C16" s="713" t="str">
        <f>IF(AG4=MAX($AG$2:$AG$5),"►","")</f>
        <v/>
      </c>
      <c r="D16" s="714">
        <v>1.35</v>
      </c>
      <c r="E16" s="715" t="s">
        <v>705</v>
      </c>
      <c r="F16" s="716" t="s">
        <v>732</v>
      </c>
      <c r="G16" s="714">
        <v>1.5</v>
      </c>
      <c r="H16" s="717" t="s">
        <v>740</v>
      </c>
      <c r="I16" s="2"/>
      <c r="K16" s="705"/>
      <c r="L16" s="706"/>
      <c r="M16" s="707"/>
      <c r="N16" s="708"/>
      <c r="O16" s="709"/>
    </row>
    <row r="17" spans="1:27" ht="15.65">
      <c r="A17" s="1285"/>
      <c r="B17" s="1287"/>
      <c r="C17" s="718" t="str">
        <f>IF(AG5=MAX($AG$2:$AG$5),"►","")</f>
        <v/>
      </c>
      <c r="D17" s="719">
        <v>1</v>
      </c>
      <c r="E17" s="720" t="s">
        <v>705</v>
      </c>
      <c r="F17" s="721" t="s">
        <v>732</v>
      </c>
      <c r="G17" s="722">
        <v>1</v>
      </c>
      <c r="H17" s="723" t="s">
        <v>717</v>
      </c>
      <c r="I17" s="2"/>
      <c r="K17" s="2"/>
      <c r="N17" s="724"/>
    </row>
    <row r="18" spans="1:27" hidden="1">
      <c r="A18" s="1288" t="s">
        <v>734</v>
      </c>
      <c r="B18" s="686" t="s">
        <v>735</v>
      </c>
      <c r="C18" s="687" t="s">
        <v>727</v>
      </c>
      <c r="D18" s="688"/>
      <c r="E18" s="689"/>
      <c r="F18" s="690"/>
      <c r="G18" s="688">
        <v>1</v>
      </c>
      <c r="H18" s="691" t="s">
        <v>740</v>
      </c>
      <c r="I18" s="2"/>
      <c r="K18" s="2"/>
    </row>
    <row r="19" spans="1:27" hidden="1">
      <c r="A19" s="1288"/>
      <c r="B19" s="693" t="s">
        <v>736</v>
      </c>
      <c r="C19" s="694"/>
      <c r="D19" s="695">
        <f>AI3</f>
        <v>0.8</v>
      </c>
      <c r="E19" s="696" t="s">
        <v>705</v>
      </c>
      <c r="F19" s="697" t="s">
        <v>732</v>
      </c>
      <c r="G19" s="695">
        <f xml:space="preserve"> IF($E$5&gt;=1000,0.2*AI3,0)</f>
        <v>0</v>
      </c>
      <c r="H19" s="698" t="s">
        <v>740</v>
      </c>
      <c r="I19" s="725" t="s">
        <v>741</v>
      </c>
      <c r="J19" s="189"/>
      <c r="K19" s="189"/>
      <c r="L19" s="189"/>
    </row>
    <row r="20" spans="1:27" ht="14.3" thickBot="1">
      <c r="A20" s="1289"/>
      <c r="B20" s="700" t="s">
        <v>1076</v>
      </c>
      <c r="C20" s="700" t="s">
        <v>727</v>
      </c>
      <c r="D20" s="701">
        <f>1+D19</f>
        <v>1.8</v>
      </c>
      <c r="E20" s="702" t="str">
        <f>E19</f>
        <v>G</v>
      </c>
      <c r="F20" s="703" t="s">
        <v>732</v>
      </c>
      <c r="G20" s="701">
        <f>G19+G18</f>
        <v>1</v>
      </c>
      <c r="H20" s="704" t="str">
        <f>H19</f>
        <v>Si</v>
      </c>
      <c r="I20" s="2"/>
      <c r="J20" s="280"/>
      <c r="K20" s="726"/>
      <c r="L20" s="280"/>
    </row>
    <row r="21" spans="1:27" ht="14.3" thickBot="1">
      <c r="A21" s="275"/>
      <c r="C21" s="212"/>
      <c r="D21" s="261"/>
      <c r="E21" s="710"/>
      <c r="H21" s="711"/>
      <c r="J21" s="280"/>
      <c r="K21" s="726"/>
      <c r="L21" s="280"/>
    </row>
    <row r="22" spans="1:27" ht="16.3" thickBot="1">
      <c r="A22" s="1290" t="s">
        <v>742</v>
      </c>
      <c r="B22" s="1291"/>
      <c r="C22" s="1291"/>
      <c r="D22" s="1291"/>
      <c r="E22" s="1291"/>
      <c r="F22" s="1291"/>
      <c r="G22" s="1291"/>
      <c r="H22" s="1292"/>
      <c r="K22" s="2"/>
    </row>
    <row r="23" spans="1:27" ht="13.6">
      <c r="A23" s="1284" t="s">
        <v>730</v>
      </c>
      <c r="B23" s="1294" t="s">
        <v>731</v>
      </c>
      <c r="C23" s="687" t="s">
        <v>727</v>
      </c>
      <c r="D23" s="688">
        <v>1.35</v>
      </c>
      <c r="E23" s="689" t="s">
        <v>705</v>
      </c>
      <c r="F23" s="690"/>
      <c r="G23" s="688"/>
      <c r="H23" s="712"/>
      <c r="I23" s="727"/>
      <c r="J23" s="84"/>
      <c r="K23" s="728"/>
      <c r="L23" s="84"/>
      <c r="AA23" s="76"/>
    </row>
    <row r="24" spans="1:27">
      <c r="A24" s="1288"/>
      <c r="B24" s="1295"/>
      <c r="C24" s="729" t="str">
        <f>IF($AM$1=2,"►","")</f>
        <v/>
      </c>
      <c r="D24" s="695">
        <v>1.35</v>
      </c>
      <c r="E24" s="696" t="s">
        <v>705</v>
      </c>
      <c r="F24" s="697" t="s">
        <v>732</v>
      </c>
      <c r="G24" s="695">
        <v>1.5</v>
      </c>
      <c r="H24" s="730" t="s">
        <v>710</v>
      </c>
      <c r="I24" s="731"/>
      <c r="K24" s="728"/>
      <c r="L24" s="84"/>
    </row>
    <row r="25" spans="1:27" ht="13.6" thickBot="1">
      <c r="A25" s="1293"/>
      <c r="B25" s="1296"/>
      <c r="C25" s="729" t="str">
        <f>IF($AM$1=3,"►","")</f>
        <v>►</v>
      </c>
      <c r="D25" s="732">
        <v>1</v>
      </c>
      <c r="E25" s="733" t="s">
        <v>705</v>
      </c>
      <c r="F25" s="734" t="s">
        <v>732</v>
      </c>
      <c r="G25" s="732">
        <v>1.5</v>
      </c>
      <c r="H25" s="735" t="s">
        <v>715</v>
      </c>
      <c r="I25" s="731"/>
      <c r="K25" s="2"/>
    </row>
    <row r="26" spans="1:27">
      <c r="A26" s="1302" t="s">
        <v>734</v>
      </c>
      <c r="B26" s="736" t="s">
        <v>735</v>
      </c>
      <c r="C26" s="687" t="s">
        <v>727</v>
      </c>
      <c r="D26" s="688"/>
      <c r="E26" s="689"/>
      <c r="F26" s="690"/>
      <c r="G26" s="688">
        <v>1</v>
      </c>
      <c r="H26" s="712" t="s">
        <v>710</v>
      </c>
      <c r="I26" s="731"/>
      <c r="K26" s="2"/>
    </row>
    <row r="27" spans="1:27" hidden="1">
      <c r="A27" s="1279"/>
      <c r="B27" s="737" t="s">
        <v>736</v>
      </c>
      <c r="C27" s="694"/>
      <c r="D27" s="695">
        <f>AI3</f>
        <v>0.8</v>
      </c>
      <c r="E27" s="696" t="s">
        <v>705</v>
      </c>
      <c r="F27" s="697"/>
      <c r="G27" s="695"/>
      <c r="H27" s="698"/>
      <c r="I27" s="692" t="s">
        <v>737</v>
      </c>
      <c r="J27" s="84"/>
      <c r="K27" s="728"/>
      <c r="L27" s="84"/>
    </row>
    <row r="28" spans="1:27" ht="14.3" thickBot="1">
      <c r="A28" s="1303"/>
      <c r="B28" s="700" t="s">
        <v>1076</v>
      </c>
      <c r="C28" s="700" t="s">
        <v>727</v>
      </c>
      <c r="D28" s="701">
        <f>1+D27</f>
        <v>1.8</v>
      </c>
      <c r="E28" s="702" t="str">
        <f>E27</f>
        <v>G</v>
      </c>
      <c r="F28" s="703" t="s">
        <v>732</v>
      </c>
      <c r="G28" s="701">
        <f>G27+G26</f>
        <v>1</v>
      </c>
      <c r="H28" s="704" t="s">
        <v>710</v>
      </c>
      <c r="I28" s="2"/>
      <c r="J28" s="189"/>
      <c r="K28" s="189"/>
      <c r="L28" s="189"/>
    </row>
    <row r="29" spans="1:27" ht="13.6" thickBot="1">
      <c r="A29" s="738"/>
      <c r="B29" s="189"/>
      <c r="C29" s="739"/>
      <c r="D29" s="740"/>
      <c r="E29" s="741"/>
      <c r="F29" s="742"/>
      <c r="G29" s="740"/>
      <c r="H29" s="741"/>
      <c r="I29" s="189"/>
      <c r="J29" s="189"/>
      <c r="K29" s="189"/>
      <c r="L29" s="189"/>
    </row>
    <row r="30" spans="1:27" ht="15.65">
      <c r="A30" s="1304" t="s">
        <v>743</v>
      </c>
      <c r="B30" s="1305"/>
      <c r="C30" s="1305"/>
      <c r="D30" s="1305"/>
      <c r="E30" s="1305"/>
      <c r="F30" s="1305"/>
      <c r="G30" s="1305"/>
      <c r="H30" s="1306"/>
      <c r="K30" s="2"/>
    </row>
    <row r="31" spans="1:27">
      <c r="A31" s="1288" t="s">
        <v>730</v>
      </c>
      <c r="B31" s="1307" t="s">
        <v>731</v>
      </c>
      <c r="C31" s="713" t="str">
        <f>IF(AG2=MAX($AG$2:$AG$5),"►","")</f>
        <v>►</v>
      </c>
      <c r="D31" s="695">
        <v>1.35</v>
      </c>
      <c r="E31" s="696" t="s">
        <v>705</v>
      </c>
      <c r="F31" s="697"/>
      <c r="G31" s="695"/>
      <c r="H31" s="730"/>
      <c r="I31" s="743" t="s">
        <v>140</v>
      </c>
      <c r="J31" s="84"/>
      <c r="K31" s="728"/>
      <c r="L31" s="84"/>
    </row>
    <row r="32" spans="1:27">
      <c r="A32" s="1288"/>
      <c r="B32" s="1295"/>
      <c r="C32" s="713" t="str">
        <f>IF(AG4=MAX($AG$2:$AG$5),"►","")</f>
        <v/>
      </c>
      <c r="D32" s="695">
        <v>1.35</v>
      </c>
      <c r="E32" s="696" t="s">
        <v>705</v>
      </c>
      <c r="F32" s="697" t="s">
        <v>732</v>
      </c>
      <c r="G32" s="695">
        <v>1.5</v>
      </c>
      <c r="H32" s="730" t="s">
        <v>740</v>
      </c>
      <c r="J32" s="84"/>
      <c r="K32" s="728"/>
      <c r="L32" s="84"/>
    </row>
    <row r="33" spans="1:15">
      <c r="A33" s="1288"/>
      <c r="B33" s="1295"/>
      <c r="C33" s="713" t="str">
        <f>IF(AG5=MAX($AG$2:$AG$5),"►","")</f>
        <v/>
      </c>
      <c r="D33" s="714">
        <v>1</v>
      </c>
      <c r="E33" s="715" t="s">
        <v>705</v>
      </c>
      <c r="F33" s="716" t="s">
        <v>732</v>
      </c>
      <c r="G33" s="695">
        <v>1</v>
      </c>
      <c r="H33" s="730" t="s">
        <v>717</v>
      </c>
      <c r="J33" s="84"/>
      <c r="K33" s="728"/>
      <c r="L33" s="84"/>
      <c r="M33" s="731"/>
    </row>
    <row r="34" spans="1:15">
      <c r="A34" s="1288"/>
      <c r="B34" s="1295"/>
      <c r="C34" s="729" t="str">
        <f>IF($AM$1=2,"►","")</f>
        <v/>
      </c>
      <c r="D34" s="695">
        <v>1.35</v>
      </c>
      <c r="E34" s="696" t="s">
        <v>705</v>
      </c>
      <c r="F34" s="697" t="s">
        <v>732</v>
      </c>
      <c r="G34" s="695">
        <v>1.5</v>
      </c>
      <c r="H34" s="730" t="s">
        <v>710</v>
      </c>
      <c r="I34" s="731"/>
      <c r="J34" s="84"/>
      <c r="K34" s="728"/>
      <c r="L34" s="84"/>
    </row>
    <row r="35" spans="1:15">
      <c r="A35" s="1288"/>
      <c r="B35" s="1295"/>
      <c r="C35" s="729" t="str">
        <f>IF($AM$1=3,"►","")</f>
        <v>►</v>
      </c>
      <c r="D35" s="695">
        <v>1</v>
      </c>
      <c r="E35" s="696" t="s">
        <v>705</v>
      </c>
      <c r="F35" s="697" t="s">
        <v>732</v>
      </c>
      <c r="G35" s="695">
        <v>1.5</v>
      </c>
      <c r="H35" s="730" t="s">
        <v>715</v>
      </c>
      <c r="I35" s="731"/>
      <c r="J35" s="84"/>
      <c r="K35" s="728"/>
      <c r="L35" s="84"/>
    </row>
    <row r="36" spans="1:15" hidden="1">
      <c r="A36" s="1284" t="s">
        <v>734</v>
      </c>
      <c r="B36" s="1299" t="s">
        <v>735</v>
      </c>
      <c r="C36" s="687" t="s">
        <v>727</v>
      </c>
      <c r="D36" s="688"/>
      <c r="E36" s="689"/>
      <c r="F36" s="690"/>
      <c r="G36" s="688">
        <v>1</v>
      </c>
      <c r="H36" s="712" t="s">
        <v>740</v>
      </c>
      <c r="K36" s="2"/>
    </row>
    <row r="37" spans="1:15">
      <c r="A37" s="1288"/>
      <c r="B37" s="1300"/>
      <c r="C37" s="729" t="str">
        <f>IF($AM$1=2,"►","")</f>
        <v/>
      </c>
      <c r="D37" s="695"/>
      <c r="E37" s="696"/>
      <c r="F37" s="697"/>
      <c r="G37" s="695">
        <v>1</v>
      </c>
      <c r="H37" s="730" t="s">
        <v>710</v>
      </c>
      <c r="K37" s="2"/>
    </row>
    <row r="38" spans="1:15" hidden="1">
      <c r="A38" s="1288"/>
      <c r="B38" s="737" t="s">
        <v>736</v>
      </c>
      <c r="C38" s="694"/>
      <c r="D38" s="695">
        <f>AI3</f>
        <v>0.8</v>
      </c>
      <c r="E38" s="696" t="s">
        <v>705</v>
      </c>
      <c r="F38" s="697"/>
      <c r="G38" s="695">
        <f xml:space="preserve"> IF($E$5&gt;1000,0.2*AI3,0)</f>
        <v>0</v>
      </c>
      <c r="H38" s="730" t="s">
        <v>740</v>
      </c>
      <c r="I38" s="1301" t="s">
        <v>745</v>
      </c>
      <c r="J38" s="1301"/>
      <c r="K38" s="1301"/>
      <c r="L38" s="1301"/>
    </row>
    <row r="39" spans="1:15" ht="13.6">
      <c r="A39" s="1297"/>
      <c r="B39" s="1308" t="s">
        <v>1076</v>
      </c>
      <c r="C39" s="729" t="str">
        <f>IF($AM$1=2,"►","")</f>
        <v/>
      </c>
      <c r="D39" s="745">
        <f>1+D38</f>
        <v>1.8</v>
      </c>
      <c r="E39" s="76" t="str">
        <f>E38</f>
        <v>G</v>
      </c>
      <c r="F39" s="697" t="s">
        <v>732</v>
      </c>
      <c r="G39" s="745">
        <f>G37</f>
        <v>1</v>
      </c>
      <c r="H39" s="746" t="str">
        <f>H37</f>
        <v>W+</v>
      </c>
      <c r="I39" s="2"/>
      <c r="J39" s="744"/>
      <c r="K39" s="744"/>
      <c r="L39" s="744"/>
    </row>
    <row r="40" spans="1:15" ht="14.3" thickBot="1">
      <c r="A40" s="1298"/>
      <c r="B40" s="1309"/>
      <c r="C40" s="700" t="s">
        <v>727</v>
      </c>
      <c r="D40" s="701">
        <f>D38+1</f>
        <v>1.8</v>
      </c>
      <c r="E40" s="702" t="str">
        <f>E39</f>
        <v>G</v>
      </c>
      <c r="F40" s="703" t="s">
        <v>732</v>
      </c>
      <c r="G40" s="701">
        <f>G36+G38</f>
        <v>1</v>
      </c>
      <c r="H40" s="747" t="str">
        <f>H38</f>
        <v>Si</v>
      </c>
      <c r="I40" s="2"/>
      <c r="J40" s="744"/>
      <c r="K40" s="744"/>
      <c r="L40" s="744"/>
    </row>
    <row r="41" spans="1:15">
      <c r="A41" s="748"/>
      <c r="B41" s="749"/>
      <c r="C41" s="739"/>
      <c r="D41" s="740"/>
      <c r="E41" s="741"/>
      <c r="F41" s="742"/>
      <c r="G41" s="740"/>
      <c r="H41" s="741"/>
      <c r="I41" s="744"/>
      <c r="J41" s="744"/>
      <c r="K41" s="744"/>
      <c r="L41" s="744"/>
    </row>
    <row r="42" spans="1:15">
      <c r="A42" s="725"/>
      <c r="B42" s="189"/>
      <c r="C42" s="739"/>
      <c r="D42" s="740"/>
      <c r="E42" s="741"/>
      <c r="F42" s="742"/>
      <c r="G42" s="740"/>
      <c r="H42" s="741"/>
      <c r="I42" s="749"/>
      <c r="J42" s="189"/>
      <c r="K42" s="189"/>
      <c r="L42" s="189"/>
    </row>
    <row r="43" spans="1:15" ht="13.6">
      <c r="A43" s="750" t="s">
        <v>746</v>
      </c>
      <c r="B43" s="751" t="s">
        <v>747</v>
      </c>
      <c r="C43" s="752"/>
      <c r="D43" s="753"/>
      <c r="E43" s="754"/>
      <c r="F43" s="755"/>
      <c r="G43" s="755"/>
      <c r="H43" s="756"/>
      <c r="I43" s="755"/>
      <c r="J43" s="757"/>
      <c r="K43" s="758"/>
      <c r="L43" s="757"/>
      <c r="M43" s="755"/>
      <c r="N43" s="755"/>
      <c r="O43" s="759"/>
    </row>
    <row r="44" spans="1:15" ht="13.6">
      <c r="A44" s="760"/>
      <c r="B44" s="744" t="s">
        <v>748</v>
      </c>
      <c r="C44" s="212"/>
      <c r="D44" s="699"/>
      <c r="E44" s="85"/>
      <c r="F44" s="287"/>
      <c r="G44" s="287"/>
      <c r="H44" s="761"/>
      <c r="I44" s="287"/>
      <c r="J44" s="84"/>
      <c r="K44" s="728"/>
      <c r="L44" s="84"/>
      <c r="M44" s="287"/>
      <c r="N44" s="287"/>
      <c r="O44" s="762"/>
    </row>
    <row r="45" spans="1:15" ht="13.6">
      <c r="A45" s="760"/>
      <c r="B45" s="744" t="s">
        <v>749</v>
      </c>
      <c r="C45" s="212"/>
      <c r="D45" s="699"/>
      <c r="E45" s="85"/>
      <c r="F45" s="287"/>
      <c r="G45" s="287"/>
      <c r="H45" s="761"/>
      <c r="I45" s="287"/>
      <c r="J45" s="84"/>
      <c r="K45" s="728"/>
      <c r="L45" s="84"/>
      <c r="M45" s="287"/>
      <c r="N45" s="287"/>
      <c r="O45" s="762"/>
    </row>
    <row r="46" spans="1:15" ht="13.6">
      <c r="A46" s="763"/>
      <c r="B46" s="764" t="s">
        <v>750</v>
      </c>
      <c r="C46" s="765"/>
      <c r="D46" s="766"/>
      <c r="E46" s="767"/>
      <c r="F46" s="768"/>
      <c r="G46" s="768"/>
      <c r="H46" s="769"/>
      <c r="I46" s="768"/>
      <c r="J46" s="770"/>
      <c r="K46" s="771"/>
      <c r="L46" s="770"/>
      <c r="M46" s="768"/>
      <c r="N46" s="768"/>
      <c r="O46" s="772"/>
    </row>
    <row r="47" spans="1:15">
      <c r="A47" s="779" t="s">
        <v>753</v>
      </c>
      <c r="B47" s="450"/>
      <c r="C47" s="773"/>
      <c r="D47" s="450"/>
      <c r="E47" s="450"/>
      <c r="F47" s="450"/>
      <c r="G47" s="450"/>
      <c r="H47" s="778"/>
      <c r="I47" s="450"/>
      <c r="J47" s="450"/>
      <c r="K47" s="776"/>
      <c r="L47" s="450"/>
      <c r="M47" s="450"/>
      <c r="N47" s="450"/>
      <c r="O47" s="777"/>
    </row>
    <row r="48" spans="1:15">
      <c r="A48" s="167" t="s">
        <v>727</v>
      </c>
      <c r="B48" s="450" t="s">
        <v>754</v>
      </c>
      <c r="C48" s="212"/>
      <c r="H48" s="711"/>
      <c r="K48" s="2"/>
    </row>
    <row r="49" spans="1:11">
      <c r="C49" s="212"/>
      <c r="H49" s="711"/>
      <c r="K49" s="2"/>
    </row>
    <row r="50" spans="1:11">
      <c r="A50" s="275"/>
      <c r="C50" s="212"/>
      <c r="H50" s="711"/>
      <c r="K50" s="2"/>
    </row>
    <row r="51" spans="1:11">
      <c r="A51" s="275"/>
      <c r="C51" s="212"/>
      <c r="H51" s="711"/>
      <c r="K51" s="2"/>
    </row>
    <row r="52" spans="1:11">
      <c r="A52" s="275"/>
      <c r="C52" s="212"/>
      <c r="H52" s="711"/>
      <c r="K52" s="2"/>
    </row>
    <row r="53" spans="1:11">
      <c r="A53" s="275"/>
      <c r="C53" s="212"/>
      <c r="H53" s="711"/>
      <c r="K53" s="2"/>
    </row>
    <row r="54" spans="1:11">
      <c r="A54" s="275"/>
      <c r="C54" s="212"/>
      <c r="H54" s="711"/>
      <c r="K54" s="2"/>
    </row>
    <row r="55" spans="1:11">
      <c r="A55" s="275"/>
      <c r="C55" s="212"/>
      <c r="H55" s="711"/>
      <c r="K55" s="2"/>
    </row>
    <row r="56" spans="1:11">
      <c r="A56" s="275"/>
      <c r="C56" s="212"/>
      <c r="H56" s="711"/>
      <c r="K56" s="2"/>
    </row>
    <row r="57" spans="1:11">
      <c r="B57" s="212"/>
      <c r="G57" s="711"/>
      <c r="J57" s="2"/>
    </row>
    <row r="58" spans="1:11">
      <c r="A58" s="275"/>
      <c r="C58" s="212"/>
      <c r="H58" s="711"/>
      <c r="K58" s="2"/>
    </row>
    <row r="59" spans="1:11">
      <c r="A59" s="275"/>
      <c r="C59" s="212"/>
      <c r="H59" s="711"/>
      <c r="K59" s="2"/>
    </row>
    <row r="60" spans="1:11">
      <c r="A60" s="275"/>
      <c r="C60" s="212"/>
      <c r="H60" s="711"/>
      <c r="K60" s="2"/>
    </row>
    <row r="61" spans="1:11">
      <c r="A61" s="275"/>
      <c r="C61" s="212"/>
      <c r="H61" s="711"/>
      <c r="K61" s="2"/>
    </row>
    <row r="62" spans="1:11">
      <c r="A62" s="275"/>
      <c r="C62" s="212"/>
      <c r="H62" s="711"/>
      <c r="K62" s="2"/>
    </row>
    <row r="63" spans="1:11">
      <c r="A63" s="275"/>
      <c r="C63" s="212"/>
      <c r="H63" s="711"/>
      <c r="K63" s="2"/>
    </row>
    <row r="64" spans="1:11">
      <c r="A64" s="275"/>
      <c r="C64" s="212"/>
      <c r="H64" s="711"/>
      <c r="K64" s="2"/>
    </row>
    <row r="65" spans="1:11">
      <c r="A65" s="275"/>
      <c r="C65" s="212"/>
      <c r="H65" s="711"/>
      <c r="K65" s="2"/>
    </row>
    <row r="66" spans="1:11">
      <c r="A66" s="275"/>
      <c r="C66" s="212"/>
      <c r="H66" s="711"/>
      <c r="K66" s="2"/>
    </row>
    <row r="67" spans="1:11">
      <c r="A67" s="275"/>
      <c r="C67" s="212"/>
      <c r="H67" s="711"/>
      <c r="K67" s="2"/>
    </row>
    <row r="68" spans="1:11">
      <c r="A68" s="275"/>
      <c r="C68" s="212"/>
      <c r="H68" s="711"/>
      <c r="K68" s="2"/>
    </row>
    <row r="69" spans="1:11">
      <c r="A69" s="275"/>
      <c r="C69" s="212"/>
      <c r="H69" s="711"/>
      <c r="K69" s="2"/>
    </row>
    <row r="70" spans="1:11">
      <c r="A70" s="275"/>
      <c r="C70" s="212"/>
      <c r="H70" s="711"/>
      <c r="K70" s="2"/>
    </row>
    <row r="71" spans="1:11">
      <c r="A71" s="275"/>
      <c r="C71" s="212"/>
      <c r="H71" s="711"/>
      <c r="K71" s="2"/>
    </row>
    <row r="72" spans="1:11">
      <c r="A72" s="275"/>
      <c r="C72" s="212"/>
      <c r="H72" s="711"/>
      <c r="K72" s="2"/>
    </row>
    <row r="73" spans="1:11">
      <c r="A73" s="275"/>
      <c r="C73" s="212"/>
      <c r="H73" s="711"/>
      <c r="K73" s="2"/>
    </row>
    <row r="74" spans="1:11">
      <c r="A74" s="275"/>
      <c r="C74" s="212"/>
      <c r="H74" s="711"/>
      <c r="K74" s="2"/>
    </row>
    <row r="75" spans="1:11">
      <c r="A75" s="275"/>
      <c r="C75" s="212"/>
      <c r="H75" s="711"/>
      <c r="K75" s="2"/>
    </row>
    <row r="76" spans="1:11">
      <c r="A76" s="275"/>
      <c r="C76" s="212"/>
      <c r="H76" s="711"/>
      <c r="K76" s="2"/>
    </row>
    <row r="77" spans="1:11">
      <c r="A77" s="275"/>
      <c r="C77" s="212"/>
      <c r="H77" s="711"/>
      <c r="K77" s="2"/>
    </row>
    <row r="78" spans="1:11">
      <c r="A78" s="275"/>
      <c r="C78" s="212"/>
      <c r="H78" s="711"/>
      <c r="K78" s="2"/>
    </row>
    <row r="79" spans="1:11">
      <c r="A79" s="275"/>
      <c r="C79" s="212"/>
      <c r="H79" s="711"/>
      <c r="K79" s="2"/>
    </row>
    <row r="80" spans="1:11">
      <c r="A80" s="275"/>
      <c r="C80" s="212"/>
      <c r="H80" s="711"/>
      <c r="K80" s="2"/>
    </row>
    <row r="81" spans="1:54">
      <c r="A81" s="275"/>
      <c r="C81" s="212"/>
      <c r="H81" s="711"/>
      <c r="K81" s="2"/>
    </row>
    <row r="82" spans="1:54">
      <c r="A82" s="275"/>
      <c r="C82" s="212"/>
      <c r="H82" s="711"/>
      <c r="K82" s="2"/>
    </row>
    <row r="83" spans="1:54">
      <c r="A83" s="275"/>
      <c r="C83" s="212"/>
      <c r="H83" s="711"/>
      <c r="K83" s="2"/>
    </row>
    <row r="84" spans="1:54">
      <c r="A84" s="275"/>
      <c r="C84" s="212"/>
      <c r="H84" s="711"/>
      <c r="K84" s="2"/>
    </row>
    <row r="85" spans="1:54">
      <c r="A85" s="275"/>
      <c r="C85" s="212"/>
      <c r="H85" s="711"/>
      <c r="K85" s="2"/>
      <c r="AX85" s="1"/>
    </row>
    <row r="86" spans="1:54">
      <c r="A86" s="275"/>
      <c r="C86" s="212"/>
      <c r="H86" s="711"/>
      <c r="K86" s="2"/>
      <c r="AX86" s="1"/>
    </row>
    <row r="87" spans="1:54">
      <c r="A87" s="275"/>
      <c r="C87" s="212"/>
      <c r="H87" s="711"/>
      <c r="K87" s="2"/>
      <c r="AX87" s="1"/>
    </row>
    <row r="88" spans="1:54">
      <c r="A88" s="275"/>
      <c r="C88" s="212"/>
      <c r="H88" s="711"/>
      <c r="K88" s="2"/>
    </row>
    <row r="89" spans="1:54">
      <c r="A89" s="275"/>
      <c r="C89" s="212"/>
      <c r="H89" s="711"/>
      <c r="K89" s="2"/>
    </row>
    <row r="90" spans="1:54">
      <c r="A90" s="275"/>
      <c r="C90" s="212"/>
      <c r="H90" s="711"/>
      <c r="K90" s="2"/>
    </row>
    <row r="91" spans="1:54">
      <c r="A91" s="275"/>
      <c r="C91" s="212"/>
      <c r="H91" s="711"/>
      <c r="K91" s="2"/>
    </row>
    <row r="92" spans="1:54">
      <c r="A92" s="275"/>
      <c r="C92" s="212"/>
      <c r="H92" s="711"/>
      <c r="K92" s="2"/>
    </row>
    <row r="93" spans="1:54">
      <c r="A93" s="275"/>
      <c r="C93" s="212"/>
      <c r="H93" s="711"/>
      <c r="K93" s="2"/>
      <c r="AX93" s="280"/>
      <c r="AY93" s="280"/>
      <c r="AZ93" s="1"/>
      <c r="BA93" s="1"/>
      <c r="BB93" s="1"/>
    </row>
    <row r="94" spans="1:54">
      <c r="A94" s="275"/>
      <c r="C94" s="212"/>
      <c r="H94" s="711"/>
      <c r="K94" s="2"/>
      <c r="AX94" s="1"/>
      <c r="AZ94" s="1"/>
      <c r="BB94" s="1"/>
    </row>
    <row r="95" spans="1:54">
      <c r="A95" s="275"/>
      <c r="C95" s="212"/>
      <c r="H95" s="711"/>
      <c r="K95" s="2"/>
      <c r="AX95" s="1"/>
      <c r="AZ95" s="1"/>
      <c r="BB95" s="1"/>
    </row>
    <row r="96" spans="1:54">
      <c r="A96" s="275"/>
      <c r="C96" s="212"/>
      <c r="H96" s="711"/>
      <c r="K96" s="2"/>
      <c r="AX96" s="1"/>
      <c r="AZ96" s="1"/>
      <c r="BB96" s="1"/>
    </row>
    <row r="97" spans="1:11">
      <c r="A97" s="275"/>
      <c r="C97" s="212"/>
      <c r="H97" s="711"/>
      <c r="K97" s="2"/>
    </row>
    <row r="98" spans="1:11">
      <c r="A98" s="275"/>
      <c r="C98" s="212"/>
      <c r="H98" s="711"/>
      <c r="K98" s="2"/>
    </row>
    <row r="99" spans="1:11">
      <c r="A99" s="275"/>
      <c r="C99" s="212"/>
      <c r="H99" s="711"/>
      <c r="K99" s="2"/>
    </row>
    <row r="100" spans="1:11">
      <c r="A100" s="275"/>
      <c r="C100" s="212"/>
      <c r="H100" s="711"/>
      <c r="K100" s="2"/>
    </row>
    <row r="101" spans="1:11">
      <c r="A101" s="275"/>
      <c r="C101" s="212"/>
      <c r="H101" s="711"/>
      <c r="K101" s="2"/>
    </row>
    <row r="102" spans="1:11">
      <c r="A102" s="275"/>
      <c r="C102" s="212"/>
      <c r="H102" s="711"/>
      <c r="K102" s="2"/>
    </row>
    <row r="103" spans="1:11">
      <c r="A103" s="275"/>
      <c r="C103" s="212"/>
      <c r="H103" s="711"/>
      <c r="K103" s="2"/>
    </row>
    <row r="104" spans="1:11">
      <c r="A104" s="275"/>
      <c r="C104" s="212"/>
      <c r="H104" s="711"/>
      <c r="K104" s="2"/>
    </row>
    <row r="105" spans="1:11">
      <c r="A105" s="275"/>
      <c r="C105" s="212"/>
      <c r="H105" s="711"/>
      <c r="K105" s="2"/>
    </row>
    <row r="106" spans="1:11">
      <c r="A106" s="275"/>
      <c r="C106" s="212"/>
      <c r="H106" s="711"/>
      <c r="K106" s="2"/>
    </row>
    <row r="107" spans="1:11">
      <c r="A107" s="275"/>
      <c r="C107" s="212"/>
      <c r="H107" s="711"/>
      <c r="K107" s="2"/>
    </row>
    <row r="108" spans="1:11">
      <c r="A108" s="275"/>
      <c r="C108" s="212"/>
      <c r="H108" s="711"/>
      <c r="K108" s="2"/>
    </row>
    <row r="109" spans="1:11">
      <c r="A109" s="275"/>
      <c r="C109" s="212"/>
      <c r="H109" s="711"/>
      <c r="K109" s="2"/>
    </row>
    <row r="110" spans="1:11">
      <c r="A110" s="275"/>
      <c r="C110" s="212"/>
      <c r="H110" s="711"/>
      <c r="K110" s="2"/>
    </row>
    <row r="111" spans="1:11">
      <c r="A111" s="275"/>
      <c r="C111" s="212"/>
      <c r="H111" s="711"/>
      <c r="K111" s="2"/>
    </row>
    <row r="112" spans="1:11">
      <c r="A112" s="275"/>
      <c r="C112" s="212"/>
      <c r="H112" s="711"/>
      <c r="K112" s="2"/>
    </row>
    <row r="113" spans="1:11">
      <c r="A113" s="275"/>
      <c r="C113" s="212"/>
      <c r="H113" s="711"/>
      <c r="K113" s="2"/>
    </row>
    <row r="114" spans="1:11">
      <c r="A114" s="275"/>
      <c r="C114" s="212"/>
      <c r="H114" s="711"/>
      <c r="K114" s="2"/>
    </row>
    <row r="115" spans="1:11">
      <c r="A115" s="275"/>
      <c r="C115" s="212"/>
      <c r="H115" s="711"/>
      <c r="K115" s="2"/>
    </row>
    <row r="116" spans="1:11">
      <c r="A116" s="275"/>
      <c r="C116" s="212"/>
      <c r="H116" s="711"/>
      <c r="K116" s="2"/>
    </row>
    <row r="117" spans="1:11">
      <c r="A117" s="275"/>
      <c r="C117" s="212"/>
      <c r="H117" s="711"/>
      <c r="K117" s="2"/>
    </row>
    <row r="118" spans="1:11">
      <c r="A118" s="275"/>
      <c r="C118" s="212"/>
      <c r="H118" s="711"/>
      <c r="K118" s="2"/>
    </row>
    <row r="119" spans="1:11">
      <c r="A119" s="275"/>
      <c r="C119" s="212"/>
      <c r="H119" s="711"/>
      <c r="K119" s="2"/>
    </row>
    <row r="120" spans="1:11">
      <c r="A120" s="275"/>
      <c r="C120" s="212"/>
      <c r="H120" s="711"/>
      <c r="K120" s="2"/>
    </row>
    <row r="121" spans="1:11">
      <c r="A121" s="275"/>
      <c r="C121" s="212"/>
      <c r="H121" s="711"/>
      <c r="K121" s="2"/>
    </row>
    <row r="122" spans="1:11">
      <c r="A122" s="275"/>
      <c r="C122" s="212"/>
      <c r="H122" s="711"/>
      <c r="K122" s="2"/>
    </row>
    <row r="123" spans="1:11">
      <c r="A123" s="275"/>
      <c r="C123" s="212"/>
      <c r="H123" s="711"/>
      <c r="K123" s="2"/>
    </row>
    <row r="124" spans="1:11">
      <c r="A124" s="275"/>
      <c r="C124" s="212"/>
      <c r="H124" s="711"/>
      <c r="K124" s="2"/>
    </row>
    <row r="125" spans="1:11">
      <c r="A125" s="275"/>
      <c r="C125" s="212"/>
      <c r="H125" s="711"/>
      <c r="K125" s="2"/>
    </row>
    <row r="126" spans="1:11">
      <c r="A126" s="275"/>
      <c r="C126" s="212"/>
      <c r="H126" s="711"/>
      <c r="K126" s="2"/>
    </row>
    <row r="127" spans="1:11">
      <c r="A127" s="275"/>
      <c r="C127" s="212"/>
      <c r="H127" s="711"/>
      <c r="K127" s="2"/>
    </row>
    <row r="128" spans="1:11">
      <c r="A128" s="275"/>
      <c r="C128" s="212"/>
      <c r="H128" s="711"/>
      <c r="K128" s="2"/>
    </row>
    <row r="129" spans="1:11">
      <c r="A129" s="275"/>
      <c r="C129" s="212"/>
      <c r="H129" s="711"/>
      <c r="K129" s="2"/>
    </row>
    <row r="130" spans="1:11">
      <c r="A130" s="275"/>
      <c r="C130" s="212"/>
      <c r="H130" s="711"/>
      <c r="K130" s="2"/>
    </row>
    <row r="131" spans="1:11">
      <c r="A131" s="275"/>
      <c r="C131" s="212"/>
      <c r="H131" s="711"/>
      <c r="K131" s="2"/>
    </row>
    <row r="132" spans="1:11">
      <c r="A132" s="275"/>
      <c r="C132" s="212"/>
      <c r="H132" s="711"/>
      <c r="K132" s="2"/>
    </row>
    <row r="133" spans="1:11">
      <c r="A133" s="275"/>
      <c r="C133" s="212"/>
      <c r="H133" s="711"/>
      <c r="K133" s="2"/>
    </row>
    <row r="134" spans="1:11">
      <c r="A134" s="275"/>
      <c r="C134" s="212"/>
      <c r="H134" s="711"/>
      <c r="K134" s="2"/>
    </row>
    <row r="135" spans="1:11">
      <c r="A135" s="275"/>
      <c r="C135" s="212"/>
      <c r="H135" s="711"/>
      <c r="K135" s="2"/>
    </row>
    <row r="136" spans="1:11">
      <c r="A136" s="275"/>
      <c r="C136" s="212"/>
      <c r="H136" s="711"/>
      <c r="K136" s="2"/>
    </row>
    <row r="137" spans="1:11">
      <c r="A137" s="275"/>
      <c r="C137" s="212"/>
      <c r="H137" s="711"/>
      <c r="K137" s="2"/>
    </row>
    <row r="138" spans="1:11">
      <c r="A138" s="275"/>
      <c r="C138" s="212"/>
      <c r="H138" s="711"/>
      <c r="K138" s="2"/>
    </row>
    <row r="139" spans="1:11">
      <c r="A139" s="275"/>
      <c r="C139" s="212"/>
      <c r="H139" s="711"/>
      <c r="K139" s="2"/>
    </row>
    <row r="140" spans="1:11">
      <c r="A140" s="275"/>
      <c r="C140" s="212"/>
      <c r="H140" s="711"/>
      <c r="K140" s="2"/>
    </row>
    <row r="141" spans="1:11">
      <c r="A141" s="275"/>
      <c r="C141" s="212"/>
      <c r="H141" s="711"/>
      <c r="K141" s="2"/>
    </row>
    <row r="142" spans="1:11">
      <c r="A142" s="275"/>
      <c r="C142" s="212"/>
      <c r="H142" s="711"/>
      <c r="K142" s="2"/>
    </row>
    <row r="143" spans="1:11">
      <c r="A143" s="275"/>
      <c r="C143" s="212"/>
      <c r="H143" s="711"/>
      <c r="K143" s="2"/>
    </row>
    <row r="144" spans="1:11">
      <c r="A144" s="275"/>
      <c r="C144" s="212"/>
      <c r="H144" s="711"/>
      <c r="K144" s="2"/>
    </row>
    <row r="145" spans="1:11">
      <c r="A145" s="275"/>
      <c r="C145" s="212"/>
      <c r="H145" s="711"/>
      <c r="K145" s="2"/>
    </row>
    <row r="146" spans="1:11">
      <c r="A146" s="275"/>
      <c r="C146" s="212"/>
      <c r="H146" s="711"/>
      <c r="K146" s="2"/>
    </row>
    <row r="147" spans="1:11">
      <c r="A147" s="275"/>
      <c r="C147" s="212"/>
      <c r="H147" s="711"/>
      <c r="K147" s="2"/>
    </row>
    <row r="148" spans="1:11">
      <c r="A148" s="275"/>
      <c r="C148" s="212"/>
      <c r="H148" s="711"/>
      <c r="K148" s="2"/>
    </row>
    <row r="149" spans="1:11">
      <c r="A149" s="275"/>
      <c r="C149" s="212"/>
      <c r="H149" s="711"/>
      <c r="K149" s="2"/>
    </row>
    <row r="150" spans="1:11">
      <c r="A150" s="275"/>
      <c r="C150" s="212"/>
      <c r="H150" s="711"/>
      <c r="K150" s="2"/>
    </row>
    <row r="151" spans="1:11">
      <c r="A151" s="275"/>
      <c r="C151" s="212"/>
      <c r="H151" s="711"/>
      <c r="K151" s="2"/>
    </row>
    <row r="152" spans="1:11">
      <c r="A152" s="275"/>
      <c r="C152" s="212"/>
      <c r="H152" s="711"/>
      <c r="K152" s="2"/>
    </row>
    <row r="153" spans="1:11">
      <c r="A153" s="275"/>
      <c r="C153" s="212"/>
      <c r="H153" s="711"/>
      <c r="K153" s="2"/>
    </row>
    <row r="154" spans="1:11">
      <c r="A154" s="275"/>
      <c r="C154" s="212"/>
      <c r="H154" s="711"/>
      <c r="K154" s="2"/>
    </row>
    <row r="155" spans="1:11">
      <c r="A155" s="275"/>
      <c r="C155" s="212"/>
      <c r="H155" s="711"/>
      <c r="K155" s="2"/>
    </row>
    <row r="156" spans="1:11">
      <c r="A156" s="275"/>
      <c r="C156" s="212"/>
      <c r="H156" s="711"/>
      <c r="K156" s="2"/>
    </row>
    <row r="157" spans="1:11">
      <c r="A157" s="275"/>
      <c r="C157" s="212"/>
      <c r="H157" s="711"/>
      <c r="K157" s="2"/>
    </row>
    <row r="158" spans="1:11">
      <c r="A158" s="275"/>
      <c r="C158" s="212"/>
      <c r="H158" s="711"/>
      <c r="K158" s="2"/>
    </row>
    <row r="159" spans="1:11">
      <c r="A159" s="275"/>
      <c r="C159" s="212"/>
      <c r="H159" s="711"/>
      <c r="K159" s="2"/>
    </row>
    <row r="160" spans="1:11">
      <c r="A160" s="275"/>
      <c r="C160" s="212"/>
      <c r="H160" s="711"/>
      <c r="K160" s="2"/>
    </row>
    <row r="161" spans="1:11">
      <c r="A161" s="275"/>
      <c r="C161" s="212"/>
      <c r="H161" s="711"/>
      <c r="K161" s="2"/>
    </row>
    <row r="162" spans="1:11">
      <c r="A162" s="275"/>
      <c r="C162" s="212"/>
      <c r="H162" s="711"/>
      <c r="K162" s="2"/>
    </row>
    <row r="163" spans="1:11">
      <c r="A163" s="275"/>
      <c r="C163" s="212"/>
      <c r="H163" s="711"/>
      <c r="K163" s="2"/>
    </row>
    <row r="164" spans="1:11">
      <c r="A164" s="275"/>
      <c r="C164" s="212"/>
      <c r="H164" s="711"/>
      <c r="K164" s="2"/>
    </row>
    <row r="165" spans="1:11">
      <c r="A165" s="275"/>
      <c r="C165" s="212"/>
      <c r="H165" s="711"/>
      <c r="K165" s="2"/>
    </row>
    <row r="166" spans="1:11">
      <c r="A166" s="275"/>
      <c r="C166" s="212"/>
      <c r="H166" s="711"/>
      <c r="K166" s="2"/>
    </row>
    <row r="167" spans="1:11">
      <c r="A167" s="275"/>
      <c r="C167" s="212"/>
      <c r="H167" s="711"/>
      <c r="K167" s="2"/>
    </row>
    <row r="168" spans="1:11">
      <c r="A168" s="275"/>
      <c r="C168" s="212"/>
      <c r="H168" s="711"/>
      <c r="K168" s="2"/>
    </row>
    <row r="169" spans="1:11">
      <c r="A169" s="275"/>
      <c r="C169" s="212"/>
      <c r="H169" s="711"/>
      <c r="K169" s="2"/>
    </row>
    <row r="170" spans="1:11">
      <c r="A170" s="275"/>
      <c r="C170" s="212"/>
      <c r="H170" s="711"/>
      <c r="K170" s="2"/>
    </row>
    <row r="171" spans="1:11">
      <c r="A171" s="275"/>
      <c r="C171" s="212"/>
      <c r="H171" s="711"/>
      <c r="K171" s="2"/>
    </row>
    <row r="172" spans="1:11">
      <c r="A172" s="275"/>
      <c r="C172" s="212"/>
      <c r="H172" s="711"/>
      <c r="K172" s="2"/>
    </row>
    <row r="173" spans="1:11">
      <c r="A173" s="275"/>
      <c r="C173" s="212"/>
      <c r="H173" s="711"/>
      <c r="K173" s="2"/>
    </row>
    <row r="174" spans="1:11">
      <c r="A174" s="275"/>
      <c r="C174" s="212"/>
      <c r="H174" s="711"/>
      <c r="K174" s="2"/>
    </row>
    <row r="175" spans="1:11">
      <c r="A175" s="275"/>
      <c r="C175" s="212"/>
      <c r="H175" s="711"/>
      <c r="K175" s="2"/>
    </row>
    <row r="176" spans="1:11">
      <c r="A176" s="275"/>
      <c r="C176" s="212"/>
      <c r="H176" s="711"/>
      <c r="K176" s="2"/>
    </row>
    <row r="177" spans="1:11">
      <c r="A177" s="275"/>
      <c r="C177" s="212"/>
      <c r="H177" s="711"/>
      <c r="K177" s="2"/>
    </row>
    <row r="178" spans="1:11">
      <c r="A178" s="275"/>
      <c r="C178" s="212"/>
      <c r="H178" s="711"/>
      <c r="K178" s="2"/>
    </row>
    <row r="179" spans="1:11">
      <c r="A179" s="275"/>
      <c r="C179" s="212"/>
      <c r="H179" s="711"/>
      <c r="K179" s="2"/>
    </row>
    <row r="180" spans="1:11">
      <c r="A180" s="275"/>
      <c r="C180" s="212"/>
      <c r="H180" s="711"/>
      <c r="K180" s="2"/>
    </row>
    <row r="181" spans="1:11">
      <c r="A181" s="275"/>
      <c r="C181" s="212"/>
      <c r="H181" s="711"/>
      <c r="K181" s="2"/>
    </row>
    <row r="182" spans="1:11">
      <c r="A182" s="275"/>
      <c r="C182" s="212"/>
      <c r="H182" s="711"/>
      <c r="K182" s="2"/>
    </row>
    <row r="183" spans="1:11">
      <c r="A183" s="275"/>
      <c r="C183" s="212"/>
      <c r="H183" s="711"/>
      <c r="K183" s="2"/>
    </row>
    <row r="184" spans="1:11">
      <c r="A184" s="275"/>
      <c r="C184" s="212"/>
      <c r="H184" s="711"/>
      <c r="K184" s="2"/>
    </row>
    <row r="185" spans="1:11">
      <c r="A185" s="275"/>
      <c r="C185" s="212"/>
      <c r="H185" s="711"/>
      <c r="K185" s="2"/>
    </row>
    <row r="186" spans="1:11">
      <c r="A186" s="275"/>
      <c r="C186" s="212"/>
      <c r="H186" s="711"/>
      <c r="K186" s="2"/>
    </row>
    <row r="187" spans="1:11">
      <c r="A187" s="275"/>
      <c r="C187" s="212"/>
      <c r="H187" s="711"/>
      <c r="K187" s="2"/>
    </row>
    <row r="188" spans="1:11">
      <c r="A188" s="275"/>
      <c r="C188" s="212"/>
      <c r="H188" s="711"/>
      <c r="K188" s="2"/>
    </row>
    <row r="189" spans="1:11">
      <c r="A189" s="275"/>
      <c r="C189" s="212"/>
      <c r="H189" s="711"/>
      <c r="K189" s="2"/>
    </row>
    <row r="190" spans="1:11">
      <c r="A190" s="275"/>
      <c r="C190" s="212"/>
      <c r="H190" s="711"/>
      <c r="K190" s="2"/>
    </row>
    <row r="191" spans="1:11">
      <c r="A191" s="275"/>
      <c r="C191" s="212"/>
      <c r="H191" s="711"/>
      <c r="K191" s="2"/>
    </row>
    <row r="192" spans="1:11">
      <c r="A192" s="275"/>
      <c r="C192" s="212"/>
      <c r="H192" s="711"/>
      <c r="K192" s="2"/>
    </row>
    <row r="193" spans="1:11">
      <c r="A193" s="275"/>
      <c r="C193" s="212"/>
      <c r="H193" s="711"/>
      <c r="K193" s="2"/>
    </row>
    <row r="194" spans="1:11">
      <c r="A194" s="275"/>
      <c r="C194" s="212"/>
      <c r="H194" s="711"/>
      <c r="K194" s="2"/>
    </row>
    <row r="195" spans="1:11">
      <c r="A195" s="275"/>
      <c r="C195" s="212"/>
      <c r="H195" s="711"/>
      <c r="K195" s="2"/>
    </row>
    <row r="196" spans="1:11">
      <c r="A196" s="275"/>
      <c r="C196" s="212"/>
      <c r="H196" s="711"/>
      <c r="K196" s="2"/>
    </row>
    <row r="197" spans="1:11">
      <c r="A197" s="275"/>
      <c r="C197" s="212"/>
      <c r="H197" s="711"/>
      <c r="K197" s="2"/>
    </row>
    <row r="198" spans="1:11">
      <c r="A198" s="275"/>
      <c r="C198" s="212"/>
      <c r="H198" s="711"/>
      <c r="K198" s="2"/>
    </row>
    <row r="199" spans="1:11">
      <c r="A199" s="275"/>
      <c r="C199" s="212"/>
      <c r="H199" s="711"/>
      <c r="K199" s="2"/>
    </row>
    <row r="200" spans="1:11">
      <c r="A200" s="275"/>
      <c r="C200" s="212"/>
      <c r="H200" s="711"/>
      <c r="K200" s="2"/>
    </row>
    <row r="201" spans="1:11">
      <c r="A201" s="275"/>
      <c r="C201" s="212"/>
      <c r="H201" s="711"/>
      <c r="K201" s="2"/>
    </row>
    <row r="202" spans="1:11">
      <c r="A202" s="275"/>
      <c r="C202" s="212"/>
      <c r="H202" s="711"/>
      <c r="K202" s="2"/>
    </row>
    <row r="203" spans="1:11">
      <c r="A203" s="275"/>
      <c r="C203" s="212"/>
      <c r="H203" s="711"/>
      <c r="K203" s="2"/>
    </row>
    <row r="204" spans="1:11">
      <c r="A204" s="275"/>
      <c r="C204" s="212"/>
      <c r="H204" s="711"/>
      <c r="K204" s="2"/>
    </row>
    <row r="205" spans="1:11">
      <c r="A205" s="275"/>
      <c r="C205" s="212"/>
      <c r="H205" s="711"/>
      <c r="K205" s="2"/>
    </row>
    <row r="206" spans="1:11">
      <c r="A206" s="275"/>
      <c r="C206" s="212"/>
      <c r="H206" s="711"/>
      <c r="K206" s="2"/>
    </row>
    <row r="207" spans="1:11">
      <c r="A207" s="275"/>
      <c r="C207" s="212"/>
      <c r="H207" s="711"/>
      <c r="K207" s="2"/>
    </row>
    <row r="208" spans="1:11">
      <c r="A208" s="275"/>
      <c r="C208" s="212"/>
      <c r="H208" s="711"/>
      <c r="K208" s="2"/>
    </row>
    <row r="209" spans="1:11">
      <c r="A209" s="275"/>
      <c r="C209" s="212"/>
      <c r="H209" s="711"/>
      <c r="K209" s="2"/>
    </row>
    <row r="210" spans="1:11">
      <c r="A210" s="275"/>
      <c r="C210" s="212"/>
      <c r="H210" s="711"/>
      <c r="K210" s="2"/>
    </row>
    <row r="211" spans="1:11">
      <c r="A211" s="275"/>
      <c r="C211" s="212"/>
      <c r="H211" s="711"/>
      <c r="K211" s="2"/>
    </row>
    <row r="212" spans="1:11">
      <c r="A212" s="275"/>
      <c r="C212" s="212"/>
      <c r="H212" s="711"/>
      <c r="K212" s="2"/>
    </row>
    <row r="213" spans="1:11">
      <c r="A213" s="275"/>
      <c r="C213" s="212"/>
      <c r="H213" s="711"/>
      <c r="K213" s="2"/>
    </row>
    <row r="214" spans="1:11">
      <c r="A214" s="275"/>
      <c r="C214" s="212"/>
      <c r="H214" s="711"/>
      <c r="K214" s="2"/>
    </row>
    <row r="215" spans="1:11">
      <c r="A215" s="275"/>
      <c r="C215" s="212"/>
      <c r="H215" s="711"/>
      <c r="K215" s="2"/>
    </row>
    <row r="216" spans="1:11">
      <c r="A216" s="275"/>
      <c r="C216" s="212"/>
      <c r="H216" s="711"/>
      <c r="K216" s="2"/>
    </row>
    <row r="217" spans="1:11">
      <c r="A217" s="275"/>
      <c r="C217" s="212"/>
      <c r="H217" s="711"/>
      <c r="K217" s="2"/>
    </row>
    <row r="218" spans="1:11">
      <c r="A218" s="275"/>
      <c r="C218" s="212"/>
      <c r="H218" s="711"/>
      <c r="K218" s="2"/>
    </row>
    <row r="219" spans="1:11">
      <c r="A219" s="275"/>
      <c r="C219" s="212"/>
      <c r="H219" s="711"/>
      <c r="K219" s="2"/>
    </row>
    <row r="220" spans="1:11">
      <c r="A220" s="275"/>
      <c r="C220" s="212"/>
      <c r="H220" s="711"/>
      <c r="K220" s="2"/>
    </row>
    <row r="221" spans="1:11">
      <c r="A221" s="275"/>
      <c r="C221" s="212"/>
      <c r="H221" s="711"/>
      <c r="K221" s="2"/>
    </row>
    <row r="222" spans="1:11">
      <c r="A222" s="275"/>
      <c r="C222" s="212"/>
      <c r="H222" s="711"/>
      <c r="K222" s="2"/>
    </row>
    <row r="223" spans="1:11">
      <c r="A223" s="275"/>
      <c r="C223" s="212"/>
      <c r="H223" s="711"/>
      <c r="K223" s="2"/>
    </row>
    <row r="224" spans="1:11">
      <c r="A224" s="275"/>
      <c r="C224" s="212"/>
      <c r="H224" s="711"/>
      <c r="K224" s="2"/>
    </row>
    <row r="225" spans="1:11">
      <c r="A225" s="275"/>
      <c r="C225" s="212"/>
      <c r="H225" s="711"/>
      <c r="K225" s="2"/>
    </row>
    <row r="226" spans="1:11">
      <c r="A226" s="275"/>
      <c r="C226" s="212"/>
      <c r="H226" s="711"/>
      <c r="K226" s="2"/>
    </row>
    <row r="227" spans="1:11">
      <c r="A227" s="275"/>
      <c r="C227" s="212"/>
      <c r="H227" s="711"/>
      <c r="K227" s="2"/>
    </row>
    <row r="228" spans="1:11">
      <c r="A228" s="275"/>
      <c r="C228" s="212"/>
      <c r="H228" s="711"/>
      <c r="K228" s="2"/>
    </row>
    <row r="229" spans="1:11">
      <c r="A229" s="275"/>
      <c r="C229" s="212"/>
      <c r="H229" s="711"/>
      <c r="K229" s="2"/>
    </row>
    <row r="230" spans="1:11">
      <c r="A230" s="275"/>
      <c r="C230" s="212"/>
      <c r="H230" s="711"/>
      <c r="K230" s="2"/>
    </row>
    <row r="231" spans="1:11">
      <c r="A231" s="275"/>
      <c r="C231" s="212"/>
      <c r="H231" s="711"/>
      <c r="K231" s="2"/>
    </row>
    <row r="232" spans="1:11">
      <c r="A232" s="275"/>
      <c r="C232" s="212"/>
      <c r="H232" s="711"/>
      <c r="K232" s="2"/>
    </row>
    <row r="233" spans="1:11">
      <c r="A233" s="275"/>
      <c r="C233" s="212"/>
      <c r="H233" s="711"/>
      <c r="K233" s="2"/>
    </row>
    <row r="234" spans="1:11">
      <c r="A234" s="275"/>
      <c r="C234" s="212"/>
      <c r="H234" s="711"/>
      <c r="K234" s="2"/>
    </row>
  </sheetData>
  <mergeCells count="20">
    <mergeCell ref="A36:A40"/>
    <mergeCell ref="B36:B37"/>
    <mergeCell ref="I38:L38"/>
    <mergeCell ref="A26:A28"/>
    <mergeCell ref="A30:H30"/>
    <mergeCell ref="A31:A35"/>
    <mergeCell ref="B31:B35"/>
    <mergeCell ref="B39:B40"/>
    <mergeCell ref="A15:A17"/>
    <mergeCell ref="B15:B17"/>
    <mergeCell ref="A18:A20"/>
    <mergeCell ref="A22:H22"/>
    <mergeCell ref="A23:A25"/>
    <mergeCell ref="B23:B25"/>
    <mergeCell ref="A1:O1"/>
    <mergeCell ref="M2:O2"/>
    <mergeCell ref="A8:H8"/>
    <mergeCell ref="J9:O9"/>
    <mergeCell ref="A10:A12"/>
    <mergeCell ref="A14:H14"/>
  </mergeCells>
  <phoneticPr fontId="2" type="noConversion"/>
  <hyperlinks>
    <hyperlink ref="M2" location="MENU!A1" display="RETOUR MENU"/>
    <hyperlink ref="M2:O2" location="'M4'!A1" display="RETOUR MENU CHARGEMENTS"/>
  </hyperlinks>
  <pageMargins left="0.31" right="0.38" top="0.62" bottom="0.984251969" header="0.4921259845" footer="0.4921259845"/>
  <pageSetup paperSize="9"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4" r:id="rId4" name="Drop Down 2">
              <controlPr defaultSize="0" autoLine="0" autoPict="0">
                <anchor moveWithCells="1">
                  <from>
                    <xdr:col>4</xdr:col>
                    <xdr:colOff>0</xdr:colOff>
                    <xdr:row>3</xdr:row>
                    <xdr:rowOff>0</xdr:rowOff>
                  </from>
                  <to>
                    <xdr:col>7</xdr:col>
                    <xdr:colOff>327804</xdr:colOff>
                    <xdr:row>4</xdr:row>
                    <xdr:rowOff>0</xdr:rowOff>
                  </to>
                </anchor>
              </controlPr>
            </control>
          </mc:Choice>
        </mc:AlternateContent>
        <mc:AlternateContent xmlns:mc="http://schemas.openxmlformats.org/markup-compatibility/2006">
          <mc:Choice Requires="x14">
            <control shapeId="44035" r:id="rId5" name="Drop Down 3">
              <controlPr defaultSize="0" autoLine="0" autoPict="0">
                <anchor moveWithCells="1">
                  <from>
                    <xdr:col>4</xdr:col>
                    <xdr:colOff>0</xdr:colOff>
                    <xdr:row>2</xdr:row>
                    <xdr:rowOff>0</xdr:rowOff>
                  </from>
                  <to>
                    <xdr:col>7</xdr:col>
                    <xdr:colOff>327804</xdr:colOff>
                    <xdr:row>3</xdr:row>
                    <xdr:rowOff>0</xdr:rowOff>
                  </to>
                </anchor>
              </controlPr>
            </control>
          </mc:Choice>
        </mc:AlternateContent>
        <mc:AlternateContent xmlns:mc="http://schemas.openxmlformats.org/markup-compatibility/2006">
          <mc:Choice Requires="x14">
            <control shapeId="44036" r:id="rId6" name="Drop Down 4">
              <controlPr defaultSize="0" autoLine="0" autoPict="0">
                <anchor moveWithCells="1">
                  <from>
                    <xdr:col>9</xdr:col>
                    <xdr:colOff>0</xdr:colOff>
                    <xdr:row>4</xdr:row>
                    <xdr:rowOff>0</xdr:rowOff>
                  </from>
                  <to>
                    <xdr:col>10</xdr:col>
                    <xdr:colOff>0</xdr:colOff>
                    <xdr:row>5</xdr:row>
                    <xdr:rowOff>0</xdr:rowOff>
                  </to>
                </anchor>
              </controlPr>
            </control>
          </mc:Choice>
        </mc:AlternateContent>
        <mc:AlternateContent xmlns:mc="http://schemas.openxmlformats.org/markup-compatibility/2006">
          <mc:Choice Requires="x14">
            <control shapeId="44038" r:id="rId7" name="Drop Down 6">
              <controlPr defaultSize="0" autoLine="0" autoPict="0">
                <anchor moveWithCells="1">
                  <from>
                    <xdr:col>4</xdr:col>
                    <xdr:colOff>0</xdr:colOff>
                    <xdr:row>1</xdr:row>
                    <xdr:rowOff>0</xdr:rowOff>
                  </from>
                  <to>
                    <xdr:col>7</xdr:col>
                    <xdr:colOff>327804</xdr:colOff>
                    <xdr:row>2</xdr:row>
                    <xdr:rowOff>0</xdr:rowOff>
                  </to>
                </anchor>
              </controlPr>
            </control>
          </mc:Choice>
        </mc:AlternateContent>
        <mc:AlternateContent xmlns:mc="http://schemas.openxmlformats.org/markup-compatibility/2006">
          <mc:Choice Requires="x14">
            <control shapeId="44040" r:id="rId8" name="Drop Down 8">
              <controlPr defaultSize="0" autoLine="0" autoPict="0">
                <anchor moveWithCells="1">
                  <from>
                    <xdr:col>4</xdr:col>
                    <xdr:colOff>17253</xdr:colOff>
                    <xdr:row>4</xdr:row>
                    <xdr:rowOff>0</xdr:rowOff>
                  </from>
                  <to>
                    <xdr:col>7</xdr:col>
                    <xdr:colOff>327804</xdr:colOff>
                    <xdr:row>5</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42"/>
  <sheetViews>
    <sheetView workbookViewId="0">
      <selection activeCell="E41" sqref="E41:L42"/>
    </sheetView>
  </sheetViews>
  <sheetFormatPr baseColWidth="10" defaultRowHeight="12.9"/>
  <cols>
    <col min="1" max="1" width="6.875" customWidth="1"/>
    <col min="2" max="2" width="8" customWidth="1"/>
    <col min="3" max="3" width="4.375" customWidth="1"/>
    <col min="4" max="5" width="6.75" customWidth="1"/>
    <col min="6" max="6" width="3.75" customWidth="1"/>
    <col min="7" max="8" width="6.75" customWidth="1"/>
    <col min="9" max="9" width="3.75" customWidth="1"/>
    <col min="10" max="11" width="6.75" customWidth="1"/>
    <col min="12" max="12" width="3.75" customWidth="1"/>
    <col min="13" max="15" width="4" customWidth="1"/>
    <col min="16" max="16" width="4" style="275" customWidth="1"/>
    <col min="17" max="19" width="4" customWidth="1"/>
    <col min="30" max="30" width="25.25" customWidth="1"/>
  </cols>
  <sheetData>
    <row r="1" spans="1:32" ht="21.75" thickBot="1">
      <c r="A1" s="1268" t="s">
        <v>755</v>
      </c>
      <c r="B1" s="1269"/>
      <c r="C1" s="1269"/>
      <c r="D1" s="1269"/>
      <c r="E1" s="1269"/>
      <c r="F1" s="1310"/>
      <c r="G1" s="1310"/>
      <c r="H1" s="1310"/>
      <c r="I1" s="1310"/>
      <c r="J1" s="1310"/>
      <c r="K1" s="1310"/>
      <c r="L1" s="1310"/>
      <c r="M1" s="1310"/>
      <c r="N1" s="1310"/>
      <c r="O1" s="1310"/>
      <c r="P1" s="1310"/>
      <c r="Q1" s="1310"/>
      <c r="R1" s="1311"/>
      <c r="AC1" s="633">
        <v>3</v>
      </c>
      <c r="AD1" s="661" t="s">
        <v>702</v>
      </c>
      <c r="AE1" s="781">
        <v>0.3</v>
      </c>
      <c r="AF1" s="782">
        <v>0.7</v>
      </c>
    </row>
    <row r="2" spans="1:32" ht="27" customHeight="1" thickBot="1">
      <c r="A2" s="1312" t="s">
        <v>1079</v>
      </c>
      <c r="B2" s="1313"/>
      <c r="C2" s="1313"/>
      <c r="D2" s="1313"/>
      <c r="E2" s="1313"/>
      <c r="F2" s="1314"/>
      <c r="G2" s="1315"/>
      <c r="H2" s="1315"/>
      <c r="I2" s="1315"/>
      <c r="J2" s="1315"/>
      <c r="K2" s="1315"/>
      <c r="L2" s="1315"/>
      <c r="M2" s="1316"/>
      <c r="N2" s="1316"/>
      <c r="O2" s="1316"/>
      <c r="P2" s="1316"/>
      <c r="Q2" s="1316"/>
      <c r="R2" s="1317"/>
      <c r="U2" s="1318" t="s">
        <v>867</v>
      </c>
      <c r="V2" s="1319"/>
      <c r="AC2">
        <f>INDEX(AF1:AF8,AC1,1)</f>
        <v>0.7</v>
      </c>
      <c r="AD2" s="667" t="s">
        <v>707</v>
      </c>
      <c r="AE2" s="783">
        <v>0.3</v>
      </c>
      <c r="AF2" s="782">
        <v>0.7</v>
      </c>
    </row>
    <row r="3" spans="1:32" ht="15.8" customHeight="1">
      <c r="A3" s="668" t="s">
        <v>716</v>
      </c>
      <c r="B3" s="451"/>
      <c r="C3" s="452"/>
      <c r="D3" s="669"/>
      <c r="E3" s="287"/>
      <c r="I3" s="287"/>
      <c r="J3" s="287"/>
      <c r="K3" s="287"/>
      <c r="AD3" s="667" t="s">
        <v>713</v>
      </c>
      <c r="AE3" s="783">
        <v>0.6</v>
      </c>
      <c r="AF3" s="782">
        <v>0.7</v>
      </c>
    </row>
    <row r="4" spans="1:32" ht="15.8" customHeight="1">
      <c r="A4" s="668" t="s">
        <v>720</v>
      </c>
      <c r="B4" s="451"/>
      <c r="C4" s="451"/>
      <c r="D4" s="452"/>
      <c r="E4" s="784">
        <v>800</v>
      </c>
      <c r="F4" s="670" t="s">
        <v>1126</v>
      </c>
      <c r="I4" s="287"/>
      <c r="J4" s="287"/>
      <c r="K4" s="287"/>
      <c r="AD4" s="667" t="s">
        <v>718</v>
      </c>
      <c r="AE4" s="781">
        <v>0.6</v>
      </c>
      <c r="AF4" s="782">
        <v>0.7</v>
      </c>
    </row>
    <row r="5" spans="1:32" ht="15.8" customHeight="1">
      <c r="H5" s="677"/>
      <c r="I5" s="677"/>
      <c r="J5" s="677"/>
      <c r="K5" s="677"/>
      <c r="L5" s="677"/>
      <c r="M5" s="677"/>
      <c r="N5" s="677"/>
      <c r="O5" s="677"/>
      <c r="P5" s="785"/>
      <c r="Q5" s="677"/>
      <c r="R5" s="677"/>
      <c r="AD5" s="667" t="s">
        <v>722</v>
      </c>
      <c r="AE5" s="781">
        <v>0.8</v>
      </c>
      <c r="AF5" s="782">
        <v>1</v>
      </c>
    </row>
    <row r="6" spans="1:32" ht="17.350000000000001" customHeight="1">
      <c r="C6" s="786"/>
      <c r="D6" t="s">
        <v>757</v>
      </c>
      <c r="K6" s="787"/>
      <c r="AD6" s="672" t="s">
        <v>724</v>
      </c>
      <c r="AE6" s="781">
        <v>0.6</v>
      </c>
      <c r="AF6" s="782">
        <v>0.7</v>
      </c>
    </row>
    <row r="7" spans="1:32" ht="14.95">
      <c r="A7" s="788"/>
      <c r="B7" s="789"/>
      <c r="C7" s="790"/>
      <c r="D7" s="791"/>
      <c r="E7" s="792"/>
      <c r="F7" s="792"/>
      <c r="G7" s="791"/>
      <c r="H7" s="792"/>
      <c r="I7" s="189"/>
      <c r="J7" s="189"/>
      <c r="K7" s="189"/>
      <c r="L7" s="189"/>
      <c r="AD7" s="672" t="s">
        <v>725</v>
      </c>
      <c r="AE7" s="781">
        <v>0.3</v>
      </c>
      <c r="AF7" s="782">
        <v>0.7</v>
      </c>
    </row>
    <row r="8" spans="1:32" ht="22.6" customHeight="1">
      <c r="A8" s="1320" t="s">
        <v>758</v>
      </c>
      <c r="B8" s="1269"/>
      <c r="C8" s="1269"/>
      <c r="D8" s="1269"/>
      <c r="E8" s="1269"/>
      <c r="F8" s="1269"/>
      <c r="G8" s="1269"/>
      <c r="H8" s="1270"/>
      <c r="I8" s="664"/>
      <c r="J8" s="664"/>
      <c r="K8" s="664"/>
      <c r="L8" s="787"/>
      <c r="AD8" s="667" t="s">
        <v>729</v>
      </c>
      <c r="AE8" s="781">
        <v>0</v>
      </c>
      <c r="AF8" s="782">
        <v>0</v>
      </c>
    </row>
    <row r="9" spans="1:32">
      <c r="A9" s="1321" t="s">
        <v>730</v>
      </c>
      <c r="B9" s="1307" t="s">
        <v>731</v>
      </c>
      <c r="C9" s="1080"/>
      <c r="D9" s="714">
        <v>1.35</v>
      </c>
      <c r="E9" s="715" t="s">
        <v>705</v>
      </c>
      <c r="F9" s="716"/>
      <c r="G9" s="714"/>
      <c r="H9" s="715"/>
      <c r="I9" s="743"/>
      <c r="J9" s="84"/>
      <c r="K9" s="728"/>
      <c r="L9" s="84"/>
    </row>
    <row r="10" spans="1:32">
      <c r="A10" s="1322"/>
      <c r="B10" s="1295"/>
      <c r="C10" s="1081" t="s">
        <v>1105</v>
      </c>
      <c r="D10" s="695">
        <v>1.35</v>
      </c>
      <c r="E10" s="696" t="s">
        <v>705</v>
      </c>
      <c r="F10" s="697" t="s">
        <v>732</v>
      </c>
      <c r="G10" s="695">
        <v>1.5</v>
      </c>
      <c r="H10" s="696" t="s">
        <v>740</v>
      </c>
      <c r="I10" s="743"/>
      <c r="J10" s="84"/>
      <c r="K10" s="728"/>
      <c r="L10" s="84"/>
      <c r="AD10" s="633">
        <v>2</v>
      </c>
      <c r="AE10" s="794" t="s">
        <v>759</v>
      </c>
      <c r="AF10" s="781">
        <v>0.6</v>
      </c>
    </row>
    <row r="11" spans="1:32">
      <c r="A11" s="1322"/>
      <c r="B11" s="1295"/>
      <c r="C11" s="1081" t="s">
        <v>1105</v>
      </c>
      <c r="D11" s="714">
        <v>1</v>
      </c>
      <c r="E11" s="715" t="s">
        <v>705</v>
      </c>
      <c r="F11" s="716" t="s">
        <v>732</v>
      </c>
      <c r="G11" s="695">
        <v>1</v>
      </c>
      <c r="H11" s="696" t="s">
        <v>717</v>
      </c>
      <c r="J11" s="84"/>
      <c r="K11" s="728"/>
      <c r="L11" s="84"/>
      <c r="M11" s="731"/>
      <c r="N11" s="731"/>
      <c r="O11" s="731"/>
      <c r="P11" s="795"/>
      <c r="Q11" s="731"/>
      <c r="AD11">
        <f>INDEX(AF10:AF12,AD10,1)</f>
        <v>0.8</v>
      </c>
      <c r="AE11" s="796" t="s">
        <v>760</v>
      </c>
      <c r="AF11" s="783">
        <v>0.8</v>
      </c>
    </row>
    <row r="12" spans="1:32">
      <c r="A12" s="1322"/>
      <c r="B12" s="1295"/>
      <c r="C12" s="1081"/>
      <c r="D12" s="695">
        <v>1.35</v>
      </c>
      <c r="E12" s="696" t="s">
        <v>705</v>
      </c>
      <c r="F12" s="697" t="s">
        <v>732</v>
      </c>
      <c r="G12" s="695">
        <v>1.5</v>
      </c>
      <c r="H12" s="797" t="s">
        <v>761</v>
      </c>
      <c r="I12" s="1323"/>
      <c r="J12" s="1324"/>
      <c r="K12" s="1324"/>
      <c r="L12" s="1324"/>
      <c r="AE12" s="796" t="s">
        <v>762</v>
      </c>
      <c r="AF12" s="783">
        <v>2</v>
      </c>
    </row>
    <row r="13" spans="1:32">
      <c r="A13" s="1322"/>
      <c r="B13" s="1295"/>
      <c r="C13" s="1081"/>
      <c r="D13" s="695">
        <v>1.35</v>
      </c>
      <c r="E13" s="696" t="s">
        <v>705</v>
      </c>
      <c r="F13" s="697" t="s">
        <v>732</v>
      </c>
      <c r="G13" s="695">
        <v>1.5</v>
      </c>
      <c r="H13" s="797" t="s">
        <v>763</v>
      </c>
      <c r="I13" s="744"/>
      <c r="J13" s="799"/>
      <c r="K13" s="811"/>
      <c r="L13" s="799"/>
      <c r="AE13" s="800"/>
      <c r="AF13" s="705"/>
    </row>
    <row r="14" spans="1:32">
      <c r="A14" s="1322"/>
      <c r="B14" s="1295"/>
      <c r="C14" s="1081" t="s">
        <v>1105</v>
      </c>
      <c r="D14" s="695">
        <v>1</v>
      </c>
      <c r="E14" s="696" t="s">
        <v>705</v>
      </c>
      <c r="F14" s="697" t="s">
        <v>732</v>
      </c>
      <c r="G14" s="695">
        <v>1.5</v>
      </c>
      <c r="H14" s="797" t="s">
        <v>761</v>
      </c>
      <c r="J14" s="799"/>
      <c r="K14" s="799"/>
      <c r="L14" s="799"/>
      <c r="AE14" s="800"/>
      <c r="AF14" s="705"/>
    </row>
    <row r="15" spans="1:32">
      <c r="A15" s="1322"/>
      <c r="B15" s="1295"/>
      <c r="C15" s="1081" t="s">
        <v>1105</v>
      </c>
      <c r="D15" s="695">
        <v>1</v>
      </c>
      <c r="E15" s="696" t="s">
        <v>705</v>
      </c>
      <c r="F15" s="697" t="s">
        <v>732</v>
      </c>
      <c r="G15" s="695">
        <v>1.5</v>
      </c>
      <c r="H15" s="797" t="s">
        <v>763</v>
      </c>
      <c r="J15" s="799"/>
      <c r="K15" s="799"/>
      <c r="L15" s="799"/>
      <c r="AE15" s="800"/>
      <c r="AF15" s="705"/>
    </row>
    <row r="16" spans="1:32">
      <c r="A16" s="1322"/>
      <c r="B16" s="1295"/>
      <c r="C16" s="1081"/>
      <c r="D16" s="695">
        <v>1.35</v>
      </c>
      <c r="E16" s="696" t="s">
        <v>705</v>
      </c>
      <c r="F16" s="697" t="s">
        <v>732</v>
      </c>
      <c r="G16" s="695">
        <v>1.5</v>
      </c>
      <c r="H16" s="696" t="s">
        <v>744</v>
      </c>
      <c r="I16" s="801" t="s">
        <v>732</v>
      </c>
      <c r="J16" s="695">
        <v>0.9</v>
      </c>
      <c r="K16" s="696" t="s">
        <v>763</v>
      </c>
      <c r="P16" s="664" t="s">
        <v>751</v>
      </c>
      <c r="AE16" s="800"/>
      <c r="AF16" s="705"/>
    </row>
    <row r="17" spans="1:32">
      <c r="A17" s="1322"/>
      <c r="B17" s="1295"/>
      <c r="C17" s="1081"/>
      <c r="D17" s="695">
        <v>1.35</v>
      </c>
      <c r="E17" s="696" t="s">
        <v>705</v>
      </c>
      <c r="F17" s="697" t="s">
        <v>732</v>
      </c>
      <c r="G17" s="695">
        <v>1.5</v>
      </c>
      <c r="H17" s="696" t="s">
        <v>744</v>
      </c>
      <c r="I17" s="801" t="s">
        <v>732</v>
      </c>
      <c r="J17" s="695">
        <v>0.9</v>
      </c>
      <c r="K17" s="696" t="s">
        <v>761</v>
      </c>
      <c r="P17" s="664" t="s">
        <v>751</v>
      </c>
      <c r="AE17" s="800"/>
      <c r="AF17" s="705"/>
    </row>
    <row r="18" spans="1:32">
      <c r="A18" s="1322"/>
      <c r="B18" s="1295"/>
      <c r="C18" s="1081"/>
      <c r="D18" s="695">
        <v>1.35</v>
      </c>
      <c r="E18" s="696" t="s">
        <v>705</v>
      </c>
      <c r="F18" s="697" t="s">
        <v>732</v>
      </c>
      <c r="G18" s="695">
        <v>1.5</v>
      </c>
      <c r="H18" s="696" t="s">
        <v>765</v>
      </c>
      <c r="S18" s="744" t="s">
        <v>766</v>
      </c>
    </row>
    <row r="19" spans="1:32">
      <c r="A19" s="1322"/>
      <c r="B19" s="1295"/>
      <c r="C19" s="1081"/>
      <c r="D19" s="695">
        <v>1.35</v>
      </c>
      <c r="E19" s="696" t="s">
        <v>705</v>
      </c>
      <c r="F19" s="697" t="s">
        <v>732</v>
      </c>
      <c r="G19" s="695">
        <v>1.5</v>
      </c>
      <c r="H19" s="696" t="s">
        <v>767</v>
      </c>
      <c r="S19" s="744" t="s">
        <v>766</v>
      </c>
    </row>
    <row r="20" spans="1:32" ht="12.1" customHeight="1">
      <c r="A20" s="1322"/>
      <c r="B20" s="1295"/>
      <c r="C20" s="1081"/>
      <c r="D20" s="695">
        <v>1</v>
      </c>
      <c r="E20" s="696" t="s">
        <v>705</v>
      </c>
      <c r="F20" s="697" t="s">
        <v>732</v>
      </c>
      <c r="G20" s="695">
        <v>1.5</v>
      </c>
      <c r="H20" s="696" t="s">
        <v>767</v>
      </c>
      <c r="S20" s="744" t="s">
        <v>766</v>
      </c>
    </row>
    <row r="21" spans="1:32" ht="12.1" customHeight="1" thickBot="1">
      <c r="A21" s="1322"/>
      <c r="B21" s="1295"/>
      <c r="C21" s="1200"/>
      <c r="D21" s="732">
        <v>1</v>
      </c>
      <c r="E21" s="733" t="s">
        <v>705</v>
      </c>
      <c r="F21" s="734" t="s">
        <v>732</v>
      </c>
      <c r="G21" s="732">
        <v>1.5</v>
      </c>
      <c r="H21" s="733" t="s">
        <v>767</v>
      </c>
      <c r="S21" s="744" t="s">
        <v>766</v>
      </c>
    </row>
    <row r="22" spans="1:32" ht="12.1" customHeight="1">
      <c r="A22" s="1302" t="s">
        <v>734</v>
      </c>
      <c r="B22" s="1299" t="s">
        <v>735</v>
      </c>
      <c r="C22" s="1201"/>
      <c r="D22" s="688"/>
      <c r="E22" s="689"/>
      <c r="F22" s="690"/>
      <c r="G22" s="688">
        <v>1</v>
      </c>
      <c r="H22" s="712" t="s">
        <v>740</v>
      </c>
      <c r="K22" s="2"/>
    </row>
    <row r="23" spans="1:32" ht="12.1" customHeight="1">
      <c r="A23" s="1279"/>
      <c r="B23" s="1300"/>
      <c r="C23" s="1081" t="s">
        <v>1105</v>
      </c>
      <c r="D23" s="695"/>
      <c r="E23" s="696"/>
      <c r="F23" s="697"/>
      <c r="G23" s="695">
        <v>1</v>
      </c>
      <c r="H23" s="730" t="s">
        <v>763</v>
      </c>
      <c r="K23" s="2"/>
    </row>
    <row r="24" spans="1:32" ht="12.1" customHeight="1">
      <c r="A24" s="1279"/>
      <c r="B24" s="1300"/>
      <c r="C24" s="1081" t="s">
        <v>1105</v>
      </c>
      <c r="D24" s="695"/>
      <c r="E24" s="696"/>
      <c r="F24" s="697"/>
      <c r="G24" s="695">
        <v>1</v>
      </c>
      <c r="H24" s="730" t="s">
        <v>761</v>
      </c>
      <c r="K24" s="2"/>
    </row>
    <row r="25" spans="1:32" ht="12.1" hidden="1" customHeight="1">
      <c r="A25" s="1279"/>
      <c r="B25" s="737" t="s">
        <v>736</v>
      </c>
      <c r="C25" s="1082"/>
      <c r="D25" s="695">
        <f>AD11</f>
        <v>0.8</v>
      </c>
      <c r="E25" s="696" t="s">
        <v>705</v>
      </c>
      <c r="F25" s="802"/>
      <c r="G25" s="803">
        <f xml:space="preserve"> IF($E$4&gt;=1000,0.2*AD11,0)</f>
        <v>0</v>
      </c>
      <c r="H25" s="1202" t="s">
        <v>740</v>
      </c>
      <c r="I25" s="1325"/>
      <c r="J25" s="1301"/>
      <c r="K25" s="1301"/>
      <c r="L25" s="1301"/>
      <c r="M25" s="11" t="s">
        <v>746</v>
      </c>
      <c r="N25" s="11" t="s">
        <v>769</v>
      </c>
    </row>
    <row r="26" spans="1:32" ht="12.1" customHeight="1">
      <c r="A26" s="1330"/>
      <c r="B26" s="1332" t="s">
        <v>1076</v>
      </c>
      <c r="C26" s="1081" t="s">
        <v>1105</v>
      </c>
      <c r="D26" s="695">
        <f>1+D25</f>
        <v>1.8</v>
      </c>
      <c r="E26" s="696" t="str">
        <f>E25</f>
        <v>G</v>
      </c>
      <c r="F26" s="697" t="s">
        <v>732</v>
      </c>
      <c r="G26" s="803">
        <f>G22+G25</f>
        <v>1</v>
      </c>
      <c r="H26" s="730" t="str">
        <f>H22</f>
        <v>Si</v>
      </c>
      <c r="J26" s="189"/>
      <c r="K26" s="189"/>
      <c r="L26" s="189"/>
      <c r="R26" s="805" t="s">
        <v>770</v>
      </c>
    </row>
    <row r="27" spans="1:32" ht="12.1" customHeight="1">
      <c r="A27" s="1330"/>
      <c r="B27" s="1333"/>
      <c r="C27" s="1081" t="s">
        <v>1105</v>
      </c>
      <c r="D27" s="695">
        <f>D26</f>
        <v>1.8</v>
      </c>
      <c r="E27" s="696" t="str">
        <f>E26</f>
        <v>G</v>
      </c>
      <c r="F27" s="697" t="str">
        <f>F26</f>
        <v>+</v>
      </c>
      <c r="G27" s="695">
        <f>G23</f>
        <v>1</v>
      </c>
      <c r="H27" s="730" t="str">
        <f>H23</f>
        <v>WGP</v>
      </c>
      <c r="J27" s="189"/>
      <c r="K27" s="189"/>
      <c r="L27" s="189"/>
      <c r="R27" s="805" t="s">
        <v>770</v>
      </c>
    </row>
    <row r="28" spans="1:32" ht="12.1" customHeight="1" thickBot="1">
      <c r="A28" s="1331"/>
      <c r="B28" s="1334"/>
      <c r="C28" s="1203" t="s">
        <v>1105</v>
      </c>
      <c r="D28" s="1204">
        <f>D27</f>
        <v>1.8</v>
      </c>
      <c r="E28" s="1205" t="str">
        <f>E27</f>
        <v>G</v>
      </c>
      <c r="F28" s="703" t="str">
        <f>F27</f>
        <v>+</v>
      </c>
      <c r="G28" s="1204">
        <f>G27</f>
        <v>1</v>
      </c>
      <c r="H28" s="1206" t="str">
        <f>H24</f>
        <v>WGD</v>
      </c>
      <c r="J28" s="189"/>
      <c r="K28" s="189"/>
      <c r="L28" s="189"/>
      <c r="R28" s="805" t="s">
        <v>770</v>
      </c>
    </row>
    <row r="29" spans="1:32">
      <c r="A29" s="788"/>
      <c r="C29" s="212"/>
      <c r="H29" s="711"/>
      <c r="K29" s="2"/>
      <c r="R29" s="664"/>
      <c r="S29" s="664"/>
      <c r="T29" s="664"/>
    </row>
    <row r="30" spans="1:32">
      <c r="A30" s="748"/>
      <c r="B30" s="189"/>
      <c r="C30" s="739"/>
      <c r="D30" s="740"/>
      <c r="E30" s="741"/>
      <c r="F30" s="742"/>
      <c r="G30" s="740"/>
      <c r="H30" s="741"/>
      <c r="I30" s="189"/>
      <c r="J30" s="189"/>
      <c r="K30" s="189"/>
      <c r="L30" s="189"/>
    </row>
    <row r="31" spans="1:32">
      <c r="A31" s="744" t="s">
        <v>772</v>
      </c>
      <c r="B31" s="189"/>
      <c r="C31" s="739"/>
      <c r="D31" s="740"/>
      <c r="E31" s="741"/>
      <c r="F31" s="742"/>
      <c r="G31" s="740"/>
      <c r="H31" s="741"/>
      <c r="I31" s="189"/>
      <c r="J31" s="189"/>
      <c r="K31" s="189"/>
      <c r="L31" s="189"/>
      <c r="M31" s="287"/>
      <c r="N31" s="287"/>
      <c r="O31" s="287"/>
      <c r="P31" s="664"/>
      <c r="Q31" s="287"/>
      <c r="R31" s="287"/>
      <c r="S31" s="287"/>
    </row>
    <row r="32" spans="1:32" ht="13.6">
      <c r="A32" s="806" t="s">
        <v>773</v>
      </c>
      <c r="B32" s="287"/>
      <c r="C32" s="212"/>
      <c r="D32" s="699"/>
      <c r="E32" s="85"/>
      <c r="F32" s="287"/>
      <c r="G32" s="287"/>
      <c r="H32" s="807"/>
      <c r="I32" s="287"/>
      <c r="J32" s="287"/>
      <c r="K32" s="780"/>
      <c r="L32" s="287"/>
      <c r="M32" s="287"/>
      <c r="N32" s="287"/>
      <c r="O32" s="287"/>
      <c r="P32" s="664"/>
      <c r="Q32" s="287"/>
      <c r="R32" s="287"/>
      <c r="S32" s="287"/>
    </row>
    <row r="33" spans="1:19" ht="13.6">
      <c r="A33" s="761" t="s">
        <v>774</v>
      </c>
      <c r="C33" s="212"/>
      <c r="D33" s="287"/>
      <c r="E33" s="287"/>
      <c r="F33" s="287"/>
      <c r="G33" s="287"/>
      <c r="H33" s="761"/>
      <c r="I33" s="287"/>
      <c r="J33" s="287"/>
      <c r="K33" s="780"/>
      <c r="L33" s="287"/>
      <c r="M33" s="287"/>
      <c r="N33" s="287"/>
      <c r="O33" s="287"/>
      <c r="P33" s="664"/>
      <c r="Q33" s="287"/>
      <c r="R33" s="287"/>
      <c r="S33" s="287"/>
    </row>
    <row r="34" spans="1:19">
      <c r="A34" s="744" t="s">
        <v>752</v>
      </c>
      <c r="B34" s="287"/>
      <c r="C34" s="212"/>
      <c r="D34" s="287"/>
      <c r="E34" s="287"/>
      <c r="F34" s="287"/>
      <c r="G34" s="287"/>
      <c r="H34" s="761"/>
      <c r="I34" s="287"/>
      <c r="J34" s="287"/>
      <c r="K34" s="780"/>
      <c r="L34" s="287"/>
      <c r="M34" s="287"/>
      <c r="N34" s="287"/>
      <c r="O34" s="287"/>
      <c r="P34" s="664"/>
      <c r="Q34" s="287"/>
      <c r="R34" s="287"/>
      <c r="S34" s="287"/>
    </row>
    <row r="35" spans="1:19">
      <c r="A35" s="744" t="s">
        <v>776</v>
      </c>
      <c r="B35" s="287"/>
      <c r="C35" s="212"/>
      <c r="D35" s="287"/>
      <c r="E35" s="287"/>
      <c r="F35" s="287"/>
      <c r="G35" s="287"/>
      <c r="H35" s="761"/>
      <c r="I35" s="287"/>
      <c r="J35" s="287"/>
      <c r="K35" s="780"/>
      <c r="L35" s="287"/>
      <c r="M35" s="287"/>
      <c r="N35" s="287"/>
      <c r="O35" s="287"/>
      <c r="P35" s="664"/>
      <c r="Q35" s="287"/>
      <c r="R35" s="287"/>
      <c r="S35" s="287"/>
    </row>
    <row r="36" spans="1:19">
      <c r="A36" s="744" t="s">
        <v>777</v>
      </c>
      <c r="B36" s="780" t="s">
        <v>1276</v>
      </c>
      <c r="C36" s="212"/>
      <c r="D36" s="287"/>
      <c r="E36" s="287"/>
      <c r="F36" s="287"/>
      <c r="G36" s="287"/>
      <c r="H36" s="761"/>
      <c r="I36" s="287"/>
      <c r="J36" s="287"/>
      <c r="K36" s="780"/>
      <c r="L36" s="287"/>
      <c r="M36" s="287"/>
      <c r="N36" s="287"/>
      <c r="O36" s="287"/>
      <c r="P36" s="664"/>
      <c r="Q36" s="287"/>
      <c r="R36" s="287"/>
      <c r="S36" s="287"/>
    </row>
    <row r="37" spans="1:19">
      <c r="A37" s="664"/>
      <c r="B37" s="287"/>
      <c r="C37" s="212"/>
      <c r="D37" s="287"/>
      <c r="E37" s="287"/>
      <c r="F37" s="287"/>
      <c r="G37" s="287"/>
      <c r="H37" s="761"/>
      <c r="I37" s="287"/>
      <c r="J37" s="287"/>
      <c r="K37" s="780"/>
      <c r="L37" s="287"/>
      <c r="M37" s="287"/>
      <c r="N37" s="287"/>
      <c r="O37" s="287"/>
      <c r="P37" s="664"/>
      <c r="Q37" s="287"/>
      <c r="R37" s="287"/>
      <c r="S37" s="287"/>
    </row>
    <row r="38" spans="1:19">
      <c r="A38" s="808"/>
      <c r="B38" s="287"/>
      <c r="C38" s="212"/>
      <c r="D38" s="287"/>
      <c r="E38" s="287"/>
      <c r="F38" s="287"/>
      <c r="G38" s="287"/>
      <c r="H38" s="761"/>
      <c r="I38" s="287"/>
      <c r="J38" s="287"/>
      <c r="K38" s="780"/>
      <c r="L38" s="287"/>
      <c r="M38" s="287"/>
      <c r="N38" s="287"/>
      <c r="O38" s="287"/>
      <c r="P38" s="664"/>
      <c r="Q38" s="287"/>
      <c r="R38" s="287"/>
      <c r="S38" s="287"/>
    </row>
    <row r="41" spans="1:19" s="287" customFormat="1">
      <c r="A41" s="1326"/>
      <c r="B41" s="809"/>
      <c r="C41" s="1328"/>
      <c r="D41" s="1328"/>
      <c r="E41" s="1329"/>
      <c r="F41" s="1329"/>
      <c r="G41" s="1329"/>
      <c r="H41" s="1329"/>
      <c r="I41" s="1329"/>
      <c r="J41" s="1329"/>
      <c r="K41" s="1329"/>
      <c r="L41" s="1329"/>
      <c r="P41" s="664"/>
    </row>
    <row r="42" spans="1:19" s="287" customFormat="1">
      <c r="A42" s="1327"/>
      <c r="B42" s="810"/>
      <c r="C42" s="1328"/>
      <c r="D42" s="1328"/>
      <c r="E42" s="1329"/>
      <c r="F42" s="1329"/>
      <c r="G42" s="1329"/>
      <c r="H42" s="1329"/>
      <c r="I42" s="1329"/>
      <c r="J42" s="1329"/>
      <c r="K42" s="1329"/>
      <c r="L42" s="1329"/>
      <c r="P42" s="664"/>
    </row>
  </sheetData>
  <mergeCells count="16">
    <mergeCell ref="I25:L25"/>
    <mergeCell ref="A41:A42"/>
    <mergeCell ref="C41:D41"/>
    <mergeCell ref="E41:L42"/>
    <mergeCell ref="C42:D42"/>
    <mergeCell ref="A22:A28"/>
    <mergeCell ref="B22:B24"/>
    <mergeCell ref="B26:B28"/>
    <mergeCell ref="A1:R1"/>
    <mergeCell ref="A2:E2"/>
    <mergeCell ref="F2:R2"/>
    <mergeCell ref="U2:V2"/>
    <mergeCell ref="A8:H8"/>
    <mergeCell ref="A9:A21"/>
    <mergeCell ref="B9:B21"/>
    <mergeCell ref="I12:L12"/>
  </mergeCells>
  <phoneticPr fontId="2" type="noConversion"/>
  <hyperlinks>
    <hyperlink ref="U2" location="MENU!A1" display="RETOUR MENU"/>
    <hyperlink ref="U2:V2" location="'M4'!A1" display="RETOUR MENU CHARGEMENTS"/>
  </hyperlinks>
  <pageMargins left="0.28000000000000003" right="0.18" top="0.984251969" bottom="0.984251969" header="0.4921259845" footer="0.4921259845"/>
  <pageSetup paperSize="9"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Drop Down 1">
              <controlPr defaultSize="0" autoLine="0" autoPict="0">
                <anchor moveWithCells="1">
                  <from>
                    <xdr:col>3</xdr:col>
                    <xdr:colOff>0</xdr:colOff>
                    <xdr:row>2</xdr:row>
                    <xdr:rowOff>0</xdr:rowOff>
                  </from>
                  <to>
                    <xdr:col>6</xdr:col>
                    <xdr:colOff>276045</xdr:colOff>
                    <xdr:row>3</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56"/>
  <sheetViews>
    <sheetView workbookViewId="0">
      <selection activeCell="E5" sqref="E5"/>
    </sheetView>
  </sheetViews>
  <sheetFormatPr baseColWidth="10" defaultRowHeight="12.9"/>
  <cols>
    <col min="1" max="1" width="6.875" customWidth="1"/>
    <col min="2" max="2" width="7" customWidth="1"/>
    <col min="3" max="3" width="4.375" customWidth="1"/>
    <col min="4" max="5" width="6.75" customWidth="1"/>
    <col min="6" max="6" width="3.75" customWidth="1"/>
    <col min="7" max="8" width="6.75" customWidth="1"/>
    <col min="9" max="9" width="3.75" customWidth="1"/>
    <col min="10" max="11" width="6.75" customWidth="1"/>
    <col min="12" max="12" width="3.75" customWidth="1"/>
    <col min="13" max="15" width="4" customWidth="1"/>
    <col min="16" max="16" width="4" style="275" customWidth="1"/>
    <col min="17" max="19" width="4" customWidth="1"/>
    <col min="30" max="30" width="25.25" customWidth="1"/>
  </cols>
  <sheetData>
    <row r="1" spans="1:32" ht="21.75" thickBot="1">
      <c r="A1" s="1268" t="s">
        <v>778</v>
      </c>
      <c r="B1" s="1269"/>
      <c r="C1" s="1269"/>
      <c r="D1" s="1269"/>
      <c r="E1" s="1269"/>
      <c r="F1" s="1310"/>
      <c r="G1" s="1310"/>
      <c r="H1" s="1310"/>
      <c r="I1" s="1310"/>
      <c r="J1" s="1310"/>
      <c r="K1" s="1310"/>
      <c r="L1" s="1310"/>
      <c r="M1" s="1310"/>
      <c r="N1" s="1310"/>
      <c r="O1" s="1310"/>
      <c r="P1" s="1310"/>
      <c r="Q1" s="1310"/>
      <c r="R1" s="1311"/>
      <c r="AC1" s="633">
        <v>3</v>
      </c>
      <c r="AD1" s="661" t="s">
        <v>702</v>
      </c>
      <c r="AE1" s="781">
        <v>0.3</v>
      </c>
      <c r="AF1" s="782">
        <v>0.7</v>
      </c>
    </row>
    <row r="2" spans="1:32" ht="27" customHeight="1" thickBot="1">
      <c r="A2" s="1312" t="s">
        <v>756</v>
      </c>
      <c r="B2" s="1313"/>
      <c r="C2" s="1313"/>
      <c r="D2" s="1313"/>
      <c r="E2" s="1313"/>
      <c r="F2" s="1338"/>
      <c r="G2" s="1339"/>
      <c r="H2" s="1339"/>
      <c r="I2" s="1339"/>
      <c r="J2" s="1339"/>
      <c r="K2" s="1339"/>
      <c r="L2" s="1339"/>
      <c r="M2" s="1339"/>
      <c r="N2" s="1339"/>
      <c r="O2" s="1339"/>
      <c r="P2" s="1339"/>
      <c r="Q2" s="1339"/>
      <c r="R2" s="1340"/>
      <c r="U2" s="1318" t="s">
        <v>867</v>
      </c>
      <c r="V2" s="1319"/>
      <c r="AC2">
        <f>INDEX(AF1:AF8,AC1,1)</f>
        <v>0.7</v>
      </c>
      <c r="AD2" s="667" t="s">
        <v>707</v>
      </c>
      <c r="AE2" s="783">
        <v>0.3</v>
      </c>
      <c r="AF2" s="782">
        <v>0.7</v>
      </c>
    </row>
    <row r="3" spans="1:32" ht="15.8" customHeight="1">
      <c r="A3" s="668" t="s">
        <v>716</v>
      </c>
      <c r="B3" s="451"/>
      <c r="C3" s="452"/>
      <c r="D3" s="669"/>
      <c r="E3" s="287"/>
      <c r="I3" s="287"/>
      <c r="J3" s="287"/>
      <c r="K3" s="287"/>
      <c r="AD3" s="667" t="s">
        <v>713</v>
      </c>
      <c r="AE3" s="783">
        <v>0.6</v>
      </c>
      <c r="AF3" s="782">
        <v>0.7</v>
      </c>
    </row>
    <row r="4" spans="1:32" ht="15.8" customHeight="1">
      <c r="A4" s="668" t="s">
        <v>720</v>
      </c>
      <c r="B4" s="451"/>
      <c r="C4" s="451"/>
      <c r="D4" s="452"/>
      <c r="E4" s="784">
        <v>200</v>
      </c>
      <c r="F4" s="670" t="s">
        <v>1126</v>
      </c>
      <c r="I4" s="287"/>
      <c r="J4" s="287"/>
      <c r="K4" s="287"/>
      <c r="AD4" s="667" t="s">
        <v>718</v>
      </c>
      <c r="AE4" s="781">
        <v>0.6</v>
      </c>
      <c r="AF4" s="782">
        <v>0.7</v>
      </c>
    </row>
    <row r="5" spans="1:32" ht="15.8" customHeight="1">
      <c r="H5" s="677"/>
      <c r="I5" s="677"/>
      <c r="J5" s="677"/>
      <c r="K5" s="677"/>
      <c r="L5" s="677"/>
      <c r="M5" s="677"/>
      <c r="N5" s="677"/>
      <c r="O5" s="677"/>
      <c r="P5" s="785"/>
      <c r="Q5" s="677"/>
      <c r="R5" s="677"/>
      <c r="AD5" s="667" t="s">
        <v>722</v>
      </c>
      <c r="AE5" s="781">
        <v>0.8</v>
      </c>
      <c r="AF5" s="782">
        <v>1</v>
      </c>
    </row>
    <row r="6" spans="1:32" ht="17.350000000000001" customHeight="1">
      <c r="C6" s="786"/>
      <c r="D6" t="s">
        <v>757</v>
      </c>
      <c r="AD6" s="672" t="s">
        <v>724</v>
      </c>
      <c r="AE6" s="781">
        <v>0.6</v>
      </c>
      <c r="AF6" s="782">
        <v>0.7</v>
      </c>
    </row>
    <row r="7" spans="1:32" ht="14.95">
      <c r="A7" s="788"/>
      <c r="B7" s="789"/>
      <c r="C7" s="790"/>
      <c r="D7" s="791"/>
      <c r="E7" s="792"/>
      <c r="F7" s="792"/>
      <c r="G7" s="791"/>
      <c r="H7" s="792"/>
      <c r="I7" s="189"/>
      <c r="J7" s="189"/>
      <c r="K7" s="189"/>
      <c r="L7" s="189"/>
      <c r="AD7" s="672" t="s">
        <v>725</v>
      </c>
      <c r="AE7" s="781">
        <v>0.3</v>
      </c>
      <c r="AF7" s="782">
        <v>0.7</v>
      </c>
    </row>
    <row r="8" spans="1:32" ht="16.3">
      <c r="A8" s="1320" t="s">
        <v>758</v>
      </c>
      <c r="B8" s="1269"/>
      <c r="C8" s="1269"/>
      <c r="D8" s="1269"/>
      <c r="E8" s="1269"/>
      <c r="F8" s="1269"/>
      <c r="G8" s="1269"/>
      <c r="H8" s="1270"/>
      <c r="I8" s="664"/>
      <c r="J8" s="664"/>
      <c r="K8" s="664"/>
      <c r="AD8" s="667" t="s">
        <v>729</v>
      </c>
      <c r="AE8" s="781">
        <v>0</v>
      </c>
      <c r="AF8" s="782">
        <v>0</v>
      </c>
    </row>
    <row r="9" spans="1:32">
      <c r="A9" s="1321" t="s">
        <v>730</v>
      </c>
      <c r="B9" s="1307" t="s">
        <v>731</v>
      </c>
      <c r="C9" s="812"/>
      <c r="D9" s="714">
        <v>1.35</v>
      </c>
      <c r="E9" s="715" t="s">
        <v>705</v>
      </c>
      <c r="F9" s="716"/>
      <c r="G9" s="714"/>
      <c r="H9" s="715"/>
      <c r="I9" s="743"/>
      <c r="J9" s="84"/>
      <c r="K9" s="728"/>
      <c r="L9" s="84"/>
    </row>
    <row r="10" spans="1:32">
      <c r="A10" s="1322"/>
      <c r="B10" s="1295"/>
      <c r="C10" s="813"/>
      <c r="D10" s="695">
        <v>1.35</v>
      </c>
      <c r="E10" s="696" t="s">
        <v>705</v>
      </c>
      <c r="F10" s="697" t="s">
        <v>732</v>
      </c>
      <c r="G10" s="695">
        <v>1.5</v>
      </c>
      <c r="H10" s="696" t="s">
        <v>740</v>
      </c>
      <c r="I10" s="743"/>
      <c r="J10" s="84"/>
      <c r="K10" s="728"/>
      <c r="L10" s="84"/>
      <c r="AD10" s="633">
        <v>2</v>
      </c>
      <c r="AE10" s="794" t="s">
        <v>759</v>
      </c>
      <c r="AF10" s="781">
        <v>0.6</v>
      </c>
    </row>
    <row r="11" spans="1:32">
      <c r="A11" s="1322"/>
      <c r="B11" s="1295"/>
      <c r="C11" s="813"/>
      <c r="D11" s="714">
        <v>1</v>
      </c>
      <c r="E11" s="715" t="s">
        <v>705</v>
      </c>
      <c r="F11" s="716" t="s">
        <v>732</v>
      </c>
      <c r="G11" s="695">
        <v>1</v>
      </c>
      <c r="H11" s="696" t="s">
        <v>717</v>
      </c>
      <c r="J11" s="84"/>
      <c r="K11" s="728"/>
      <c r="L11" s="84"/>
      <c r="M11" s="731"/>
      <c r="N11" s="731"/>
      <c r="O11" s="731"/>
      <c r="P11" s="795"/>
      <c r="Q11" s="731"/>
      <c r="AD11">
        <f>INDEX(AF10:AF12,AD10,1)</f>
        <v>0.8</v>
      </c>
      <c r="AE11" s="796" t="s">
        <v>760</v>
      </c>
      <c r="AF11" s="783">
        <v>0.8</v>
      </c>
    </row>
    <row r="12" spans="1:32">
      <c r="A12" s="1322"/>
      <c r="B12" s="1295"/>
      <c r="C12" s="813"/>
      <c r="D12" s="695">
        <v>1.35</v>
      </c>
      <c r="E12" s="696" t="s">
        <v>705</v>
      </c>
      <c r="F12" s="697" t="s">
        <v>732</v>
      </c>
      <c r="G12" s="695">
        <v>1.5</v>
      </c>
      <c r="H12" s="797" t="s">
        <v>761</v>
      </c>
      <c r="I12" s="1323"/>
      <c r="J12" s="1324"/>
      <c r="K12" s="1324"/>
      <c r="L12" s="1324"/>
      <c r="AE12" s="796" t="s">
        <v>762</v>
      </c>
      <c r="AF12" s="783">
        <v>2</v>
      </c>
    </row>
    <row r="13" spans="1:32">
      <c r="A13" s="1322"/>
      <c r="B13" s="1295"/>
      <c r="C13" s="813"/>
      <c r="D13" s="695">
        <v>1.35</v>
      </c>
      <c r="E13" s="696" t="s">
        <v>705</v>
      </c>
      <c r="F13" s="697" t="s">
        <v>732</v>
      </c>
      <c r="G13" s="695">
        <v>1.5</v>
      </c>
      <c r="H13" s="797" t="s">
        <v>763</v>
      </c>
      <c r="I13" s="744"/>
      <c r="J13" s="799"/>
      <c r="K13" s="799"/>
      <c r="L13" s="799"/>
      <c r="AE13" s="800"/>
      <c r="AF13" s="705"/>
    </row>
    <row r="14" spans="1:32">
      <c r="A14" s="1322"/>
      <c r="B14" s="1295"/>
      <c r="C14" s="813"/>
      <c r="D14" s="695">
        <v>1</v>
      </c>
      <c r="E14" s="696" t="s">
        <v>705</v>
      </c>
      <c r="F14" s="697" t="s">
        <v>732</v>
      </c>
      <c r="G14" s="695">
        <v>1.5</v>
      </c>
      <c r="H14" s="696" t="s">
        <v>761</v>
      </c>
      <c r="J14" s="799"/>
      <c r="K14" s="799"/>
      <c r="L14" s="799"/>
      <c r="AE14" s="800"/>
      <c r="AF14" s="705"/>
    </row>
    <row r="15" spans="1:32">
      <c r="A15" s="1322"/>
      <c r="B15" s="1295"/>
      <c r="C15" s="813"/>
      <c r="D15" s="695">
        <v>1</v>
      </c>
      <c r="E15" s="696" t="s">
        <v>705</v>
      </c>
      <c r="F15" s="697" t="s">
        <v>732</v>
      </c>
      <c r="G15" s="695">
        <v>1.5</v>
      </c>
      <c r="H15" s="696" t="s">
        <v>763</v>
      </c>
      <c r="J15" s="799"/>
      <c r="K15" s="799"/>
      <c r="L15" s="799"/>
      <c r="AE15" s="800"/>
      <c r="AF15" s="705"/>
    </row>
    <row r="16" spans="1:32">
      <c r="A16" s="1322"/>
      <c r="B16" s="1295"/>
      <c r="C16" s="813"/>
      <c r="D16" s="695">
        <v>1.35</v>
      </c>
      <c r="E16" s="696" t="s">
        <v>705</v>
      </c>
      <c r="F16" s="697" t="s">
        <v>732</v>
      </c>
      <c r="G16" s="695">
        <v>1.5</v>
      </c>
      <c r="H16" s="797" t="s">
        <v>779</v>
      </c>
      <c r="J16" s="799"/>
      <c r="K16" s="799"/>
      <c r="L16" s="799"/>
      <c r="AE16" s="800"/>
      <c r="AF16" s="705"/>
    </row>
    <row r="17" spans="1:32">
      <c r="A17" s="1322"/>
      <c r="B17" s="1295"/>
      <c r="C17" s="813"/>
      <c r="D17" s="695">
        <v>1.35</v>
      </c>
      <c r="E17" s="696" t="s">
        <v>705</v>
      </c>
      <c r="F17" s="697" t="s">
        <v>732</v>
      </c>
      <c r="G17" s="695">
        <v>1.5</v>
      </c>
      <c r="H17" s="797" t="s">
        <v>780</v>
      </c>
      <c r="J17" s="799"/>
      <c r="K17" s="799"/>
      <c r="L17" s="799"/>
      <c r="AE17" s="800"/>
      <c r="AF17" s="705"/>
    </row>
    <row r="18" spans="1:32">
      <c r="A18" s="1322"/>
      <c r="B18" s="1295"/>
      <c r="C18" s="813"/>
      <c r="D18" s="695">
        <v>1</v>
      </c>
      <c r="E18" s="696" t="s">
        <v>705</v>
      </c>
      <c r="F18" s="697" t="s">
        <v>732</v>
      </c>
      <c r="G18" s="695">
        <v>1.5</v>
      </c>
      <c r="H18" s="696" t="s">
        <v>779</v>
      </c>
      <c r="J18" s="799"/>
      <c r="K18" s="799"/>
      <c r="L18" s="799"/>
      <c r="AE18" s="800"/>
      <c r="AF18" s="705"/>
    </row>
    <row r="19" spans="1:32">
      <c r="A19" s="1322"/>
      <c r="B19" s="1295"/>
      <c r="C19" s="813"/>
      <c r="D19" s="695">
        <v>1</v>
      </c>
      <c r="E19" s="696" t="s">
        <v>705</v>
      </c>
      <c r="F19" s="697" t="s">
        <v>732</v>
      </c>
      <c r="G19" s="695">
        <v>1.5</v>
      </c>
      <c r="H19" s="797" t="s">
        <v>780</v>
      </c>
      <c r="J19" s="799"/>
      <c r="K19" s="799"/>
      <c r="L19" s="799"/>
      <c r="AE19" s="800"/>
      <c r="AF19" s="705"/>
    </row>
    <row r="20" spans="1:32">
      <c r="A20" s="1322"/>
      <c r="B20" s="1295"/>
      <c r="C20" s="813"/>
      <c r="D20" s="695">
        <v>1.35</v>
      </c>
      <c r="E20" s="696" t="s">
        <v>705</v>
      </c>
      <c r="F20" s="697" t="s">
        <v>732</v>
      </c>
      <c r="G20" s="695">
        <v>1.5</v>
      </c>
      <c r="H20" s="696" t="s">
        <v>744</v>
      </c>
      <c r="I20" s="801" t="s">
        <v>732</v>
      </c>
      <c r="J20" s="695">
        <v>0.9</v>
      </c>
      <c r="K20" s="696" t="s">
        <v>763</v>
      </c>
      <c r="P20" s="664" t="s">
        <v>751</v>
      </c>
      <c r="AE20" s="800"/>
      <c r="AF20" s="705"/>
    </row>
    <row r="21" spans="1:32">
      <c r="A21" s="1322"/>
      <c r="B21" s="1295"/>
      <c r="C21" s="813"/>
      <c r="D21" s="695">
        <v>1.35</v>
      </c>
      <c r="E21" s="696" t="s">
        <v>705</v>
      </c>
      <c r="F21" s="697" t="s">
        <v>732</v>
      </c>
      <c r="G21" s="695">
        <v>1.5</v>
      </c>
      <c r="H21" s="696" t="s">
        <v>744</v>
      </c>
      <c r="I21" s="801" t="s">
        <v>732</v>
      </c>
      <c r="J21" s="695">
        <v>0.9</v>
      </c>
      <c r="K21" s="696" t="s">
        <v>761</v>
      </c>
      <c r="P21" s="664" t="s">
        <v>751</v>
      </c>
      <c r="AE21" s="800"/>
      <c r="AF21" s="705"/>
    </row>
    <row r="22" spans="1:32">
      <c r="A22" s="1322"/>
      <c r="B22" s="1295"/>
      <c r="C22" s="813"/>
      <c r="D22" s="695">
        <v>1.35</v>
      </c>
      <c r="E22" s="696" t="s">
        <v>705</v>
      </c>
      <c r="F22" s="697" t="s">
        <v>732</v>
      </c>
      <c r="G22" s="695">
        <v>1.5</v>
      </c>
      <c r="H22" s="696" t="s">
        <v>744</v>
      </c>
      <c r="I22" s="801" t="s">
        <v>732</v>
      </c>
      <c r="J22" s="695">
        <v>0.9</v>
      </c>
      <c r="K22" s="797" t="s">
        <v>779</v>
      </c>
      <c r="P22" s="664" t="s">
        <v>751</v>
      </c>
      <c r="AE22" s="800"/>
      <c r="AF22" s="705"/>
    </row>
    <row r="23" spans="1:32">
      <c r="A23" s="1322"/>
      <c r="B23" s="1295"/>
      <c r="C23" s="813"/>
      <c r="D23" s="695">
        <v>1.35</v>
      </c>
      <c r="E23" s="696" t="s">
        <v>705</v>
      </c>
      <c r="F23" s="697" t="s">
        <v>732</v>
      </c>
      <c r="G23" s="695">
        <v>1.5</v>
      </c>
      <c r="H23" s="696" t="s">
        <v>744</v>
      </c>
      <c r="I23" s="801" t="s">
        <v>732</v>
      </c>
      <c r="J23" s="695">
        <v>0.9</v>
      </c>
      <c r="K23" s="797" t="s">
        <v>780</v>
      </c>
      <c r="P23" s="664" t="s">
        <v>751</v>
      </c>
      <c r="AE23" s="800"/>
      <c r="AF23" s="705"/>
    </row>
    <row r="24" spans="1:32">
      <c r="A24" s="1322"/>
      <c r="B24" s="1295"/>
      <c r="C24" s="813"/>
      <c r="D24" s="695">
        <v>1.35</v>
      </c>
      <c r="E24" s="696" t="s">
        <v>705</v>
      </c>
      <c r="F24" s="697" t="s">
        <v>732</v>
      </c>
      <c r="G24" s="695">
        <v>1.5</v>
      </c>
      <c r="H24" s="696" t="s">
        <v>765</v>
      </c>
      <c r="S24" s="744" t="s">
        <v>766</v>
      </c>
    </row>
    <row r="25" spans="1:32">
      <c r="A25" s="1322"/>
      <c r="B25" s="1295"/>
      <c r="C25" s="813"/>
      <c r="D25" s="695">
        <v>1.35</v>
      </c>
      <c r="E25" s="696" t="s">
        <v>705</v>
      </c>
      <c r="F25" s="697" t="s">
        <v>732</v>
      </c>
      <c r="G25" s="695">
        <v>1.5</v>
      </c>
      <c r="H25" s="696" t="s">
        <v>767</v>
      </c>
      <c r="S25" s="744" t="s">
        <v>766</v>
      </c>
    </row>
    <row r="26" spans="1:32">
      <c r="A26" s="1322"/>
      <c r="B26" s="1295"/>
      <c r="C26" s="813"/>
      <c r="D26" s="695">
        <v>1</v>
      </c>
      <c r="E26" s="696" t="s">
        <v>705</v>
      </c>
      <c r="F26" s="697" t="s">
        <v>732</v>
      </c>
      <c r="G26" s="695">
        <v>1.5</v>
      </c>
      <c r="H26" s="696" t="s">
        <v>767</v>
      </c>
      <c r="S26" s="744" t="s">
        <v>766</v>
      </c>
    </row>
    <row r="27" spans="1:32">
      <c r="A27" s="1322"/>
      <c r="B27" s="1295"/>
      <c r="C27" s="813"/>
      <c r="D27" s="695">
        <v>1</v>
      </c>
      <c r="E27" s="696" t="s">
        <v>705</v>
      </c>
      <c r="F27" s="697" t="s">
        <v>732</v>
      </c>
      <c r="G27" s="695">
        <v>1.5</v>
      </c>
      <c r="H27" s="696" t="s">
        <v>767</v>
      </c>
      <c r="S27" s="744" t="s">
        <v>766</v>
      </c>
    </row>
    <row r="28" spans="1:32">
      <c r="A28" s="1322"/>
      <c r="B28" s="1295"/>
      <c r="C28" s="813"/>
      <c r="D28" s="695">
        <v>1.35</v>
      </c>
      <c r="E28" s="696" t="s">
        <v>705</v>
      </c>
      <c r="F28" s="697" t="s">
        <v>732</v>
      </c>
      <c r="G28" s="695">
        <v>1.5</v>
      </c>
      <c r="H28" s="696" t="s">
        <v>744</v>
      </c>
      <c r="I28" s="801" t="s">
        <v>732</v>
      </c>
      <c r="J28" s="695">
        <v>0.9</v>
      </c>
      <c r="K28" s="696" t="s">
        <v>765</v>
      </c>
      <c r="P28" s="664" t="s">
        <v>768</v>
      </c>
      <c r="S28" s="744" t="s">
        <v>766</v>
      </c>
    </row>
    <row r="29" spans="1:32">
      <c r="A29" s="1322"/>
      <c r="B29" s="1295"/>
      <c r="C29" s="813"/>
      <c r="D29" s="695">
        <v>1.35</v>
      </c>
      <c r="E29" s="696" t="s">
        <v>705</v>
      </c>
      <c r="F29" s="697" t="s">
        <v>732</v>
      </c>
      <c r="G29" s="695">
        <v>1.5</v>
      </c>
      <c r="H29" s="696" t="s">
        <v>744</v>
      </c>
      <c r="I29" s="801" t="s">
        <v>732</v>
      </c>
      <c r="J29" s="695">
        <v>0.9</v>
      </c>
      <c r="K29" s="696" t="s">
        <v>765</v>
      </c>
      <c r="P29" s="664"/>
      <c r="S29" s="744" t="s">
        <v>766</v>
      </c>
    </row>
    <row r="30" spans="1:32">
      <c r="A30" s="1321" t="s">
        <v>734</v>
      </c>
      <c r="B30" s="1307" t="s">
        <v>735</v>
      </c>
      <c r="C30" s="813"/>
      <c r="D30" s="695"/>
      <c r="E30" s="696"/>
      <c r="F30" s="697"/>
      <c r="G30" s="695">
        <v>1</v>
      </c>
      <c r="H30" s="696" t="s">
        <v>740</v>
      </c>
      <c r="K30" s="2"/>
    </row>
    <row r="31" spans="1:32">
      <c r="A31" s="1322"/>
      <c r="B31" s="1295"/>
      <c r="C31" s="813"/>
      <c r="D31" s="695"/>
      <c r="E31" s="696"/>
      <c r="F31" s="697"/>
      <c r="G31" s="695">
        <v>1</v>
      </c>
      <c r="H31" s="696" t="s">
        <v>763</v>
      </c>
      <c r="K31" s="2"/>
    </row>
    <row r="32" spans="1:32">
      <c r="A32" s="1322"/>
      <c r="B32" s="1295"/>
      <c r="C32" s="813"/>
      <c r="D32" s="695"/>
      <c r="E32" s="696"/>
      <c r="F32" s="697"/>
      <c r="G32" s="695">
        <v>1</v>
      </c>
      <c r="H32" s="696" t="s">
        <v>761</v>
      </c>
      <c r="K32" s="2"/>
    </row>
    <row r="33" spans="1:20">
      <c r="A33" s="1322"/>
      <c r="B33" s="1295"/>
      <c r="C33" s="813"/>
      <c r="D33" s="695"/>
      <c r="E33" s="696"/>
      <c r="F33" s="697"/>
      <c r="G33" s="695">
        <v>1</v>
      </c>
      <c r="H33" s="797" t="s">
        <v>779</v>
      </c>
      <c r="K33" s="2"/>
    </row>
    <row r="34" spans="1:20">
      <c r="A34" s="1322"/>
      <c r="B34" s="1337"/>
      <c r="C34" s="813"/>
      <c r="D34" s="695"/>
      <c r="E34" s="696"/>
      <c r="F34" s="697"/>
      <c r="G34" s="695">
        <v>1</v>
      </c>
      <c r="H34" s="797" t="s">
        <v>780</v>
      </c>
      <c r="K34" s="2"/>
    </row>
    <row r="35" spans="1:20" hidden="1">
      <c r="A35" s="1322"/>
      <c r="B35" s="737" t="s">
        <v>736</v>
      </c>
      <c r="C35" s="694"/>
      <c r="D35" s="695">
        <f>AD11</f>
        <v>0.8</v>
      </c>
      <c r="E35" s="696" t="s">
        <v>705</v>
      </c>
      <c r="F35" s="802"/>
      <c r="G35" s="803">
        <f xml:space="preserve"> IF($E$4&gt;=1000,0.2*AD11,0)</f>
        <v>0</v>
      </c>
      <c r="H35" s="804" t="s">
        <v>740</v>
      </c>
      <c r="I35" s="1323"/>
      <c r="J35" s="1324"/>
      <c r="K35" s="1324"/>
      <c r="L35" s="1324"/>
      <c r="M35" s="11" t="s">
        <v>746</v>
      </c>
      <c r="N35" s="11" t="s">
        <v>769</v>
      </c>
    </row>
    <row r="36" spans="1:20">
      <c r="A36" s="1296"/>
      <c r="B36" s="1332" t="s">
        <v>738</v>
      </c>
      <c r="C36" s="813"/>
      <c r="D36" s="695">
        <f>1+$D$35</f>
        <v>1.8</v>
      </c>
      <c r="E36" s="696" t="str">
        <f>E35</f>
        <v>G</v>
      </c>
      <c r="F36" s="697" t="s">
        <v>732</v>
      </c>
      <c r="G36" s="803">
        <f>G30+G35</f>
        <v>1</v>
      </c>
      <c r="H36" s="696" t="str">
        <f>H30</f>
        <v>Si</v>
      </c>
      <c r="J36" s="189"/>
      <c r="K36" s="189"/>
      <c r="L36" s="189"/>
      <c r="R36" s="805" t="s">
        <v>770</v>
      </c>
    </row>
    <row r="37" spans="1:20">
      <c r="A37" s="1296"/>
      <c r="B37" s="1333"/>
      <c r="C37" s="813"/>
      <c r="D37" s="695">
        <f>1+$D$35</f>
        <v>1.8</v>
      </c>
      <c r="E37" s="696" t="str">
        <f>E36</f>
        <v>G</v>
      </c>
      <c r="F37" s="697" t="s">
        <v>732</v>
      </c>
      <c r="G37" s="695">
        <f>G31</f>
        <v>1</v>
      </c>
      <c r="H37" s="696" t="str">
        <f>H31</f>
        <v>WGP</v>
      </c>
      <c r="J37" s="189"/>
      <c r="K37" s="189"/>
      <c r="L37" s="189"/>
      <c r="R37" s="805" t="s">
        <v>770</v>
      </c>
    </row>
    <row r="38" spans="1:20">
      <c r="A38" s="1296"/>
      <c r="B38" s="1333"/>
      <c r="C38" s="813"/>
      <c r="D38" s="695">
        <f>1+$D$35</f>
        <v>1.8</v>
      </c>
      <c r="E38" s="696" t="str">
        <f>E37</f>
        <v>G</v>
      </c>
      <c r="F38" s="697" t="s">
        <v>732</v>
      </c>
      <c r="G38" s="695">
        <f>G32</f>
        <v>1</v>
      </c>
      <c r="H38" s="696" t="str">
        <f>H32</f>
        <v>WGD</v>
      </c>
      <c r="J38" s="189"/>
      <c r="K38" s="189"/>
      <c r="L38" s="189"/>
      <c r="R38" s="805"/>
    </row>
    <row r="39" spans="1:20">
      <c r="A39" s="1296"/>
      <c r="B39" s="1333"/>
      <c r="C39" s="813"/>
      <c r="D39" s="695">
        <f>1+$D$35</f>
        <v>1.8</v>
      </c>
      <c r="E39" s="696" t="str">
        <f>E38</f>
        <v>G</v>
      </c>
      <c r="F39" s="697" t="s">
        <v>732</v>
      </c>
      <c r="G39" s="695">
        <f>G33</f>
        <v>1</v>
      </c>
      <c r="H39" s="696" t="str">
        <f>H33</f>
        <v>WDD</v>
      </c>
      <c r="J39" s="189"/>
      <c r="K39" s="189"/>
      <c r="L39" s="189"/>
      <c r="R39" s="805"/>
    </row>
    <row r="40" spans="1:20">
      <c r="A40" s="1335"/>
      <c r="B40" s="1336"/>
      <c r="C40" s="813"/>
      <c r="D40" s="695">
        <f>1+$D$35</f>
        <v>1.8</v>
      </c>
      <c r="E40" s="696" t="str">
        <f>E39</f>
        <v>G</v>
      </c>
      <c r="F40" s="697" t="str">
        <f>F39</f>
        <v>+</v>
      </c>
      <c r="G40" s="695">
        <f>G34</f>
        <v>1</v>
      </c>
      <c r="H40" s="696" t="str">
        <f>H34</f>
        <v>WDP</v>
      </c>
      <c r="J40" s="189"/>
      <c r="K40" s="189"/>
      <c r="L40" s="189"/>
      <c r="R40" s="805" t="s">
        <v>770</v>
      </c>
    </row>
    <row r="41" spans="1:20">
      <c r="A41" s="788"/>
      <c r="C41" s="814"/>
      <c r="H41" s="711"/>
      <c r="K41" s="2"/>
      <c r="R41" s="664"/>
      <c r="S41" s="664"/>
      <c r="T41" s="664"/>
    </row>
    <row r="42" spans="1:20">
      <c r="A42" s="788"/>
      <c r="C42" s="212"/>
      <c r="H42" s="711"/>
      <c r="K42" s="2"/>
      <c r="R42" s="664"/>
      <c r="S42" s="664"/>
      <c r="T42" s="664"/>
    </row>
    <row r="43" spans="1:20">
      <c r="A43" s="788"/>
      <c r="C43" s="212"/>
      <c r="H43" s="711"/>
      <c r="K43" s="2"/>
      <c r="R43" s="664"/>
      <c r="S43" s="664"/>
      <c r="T43" s="664"/>
    </row>
    <row r="44" spans="1:20">
      <c r="A44" s="748"/>
      <c r="B44" s="189"/>
      <c r="C44" s="739"/>
      <c r="D44" s="740"/>
      <c r="E44" s="741"/>
      <c r="F44" s="742"/>
      <c r="G44" s="740"/>
      <c r="H44" s="741"/>
      <c r="I44" s="189"/>
      <c r="J44" s="189"/>
      <c r="K44" s="189"/>
      <c r="L44" s="189"/>
    </row>
    <row r="45" spans="1:20">
      <c r="A45" s="744" t="s">
        <v>772</v>
      </c>
      <c r="B45" s="189"/>
      <c r="C45" s="739"/>
      <c r="D45" s="740"/>
      <c r="E45" s="741"/>
      <c r="F45" s="742"/>
      <c r="G45" s="740"/>
      <c r="H45" s="741"/>
      <c r="I45" s="189"/>
      <c r="J45" s="189"/>
      <c r="K45" s="189"/>
      <c r="L45" s="189"/>
      <c r="M45" s="287"/>
      <c r="N45" s="287"/>
      <c r="O45" s="287"/>
      <c r="P45" s="664"/>
      <c r="Q45" s="287"/>
      <c r="R45" s="287"/>
      <c r="S45" s="287"/>
    </row>
    <row r="46" spans="1:20" ht="13.6">
      <c r="A46" s="806" t="s">
        <v>773</v>
      </c>
      <c r="B46" s="287"/>
      <c r="C46" s="212"/>
      <c r="D46" s="699"/>
      <c r="E46" s="85"/>
      <c r="F46" s="287"/>
      <c r="G46" s="287"/>
      <c r="H46" s="807"/>
      <c r="I46" s="287"/>
      <c r="J46" s="287"/>
      <c r="K46" s="780"/>
      <c r="L46" s="287"/>
      <c r="M46" s="287"/>
      <c r="N46" s="287"/>
      <c r="O46" s="287"/>
      <c r="P46" s="664"/>
      <c r="Q46" s="287"/>
      <c r="R46" s="287"/>
      <c r="S46" s="287"/>
    </row>
    <row r="47" spans="1:20" ht="13.6">
      <c r="A47" s="761" t="s">
        <v>774</v>
      </c>
      <c r="B47" s="287"/>
      <c r="C47" s="212"/>
      <c r="D47" s="287"/>
      <c r="E47" s="287"/>
      <c r="F47" s="287"/>
      <c r="G47" s="287"/>
      <c r="H47" s="761"/>
      <c r="I47" s="287"/>
      <c r="J47" s="287"/>
      <c r="K47" s="780"/>
      <c r="L47" s="287"/>
      <c r="M47" s="287"/>
      <c r="N47" s="287"/>
      <c r="O47" s="287"/>
      <c r="P47" s="664"/>
      <c r="Q47" s="287"/>
      <c r="R47" s="287"/>
      <c r="S47" s="287"/>
    </row>
    <row r="48" spans="1:20">
      <c r="A48" s="744" t="s">
        <v>752</v>
      </c>
      <c r="B48" s="287"/>
      <c r="C48" s="212"/>
      <c r="D48" s="287"/>
      <c r="E48" s="287"/>
      <c r="F48" s="287"/>
      <c r="G48" s="287"/>
      <c r="H48" s="761"/>
      <c r="I48" s="287"/>
      <c r="J48" s="287"/>
      <c r="K48" s="780"/>
      <c r="L48" s="287"/>
      <c r="M48" s="287"/>
      <c r="N48" s="287"/>
      <c r="O48" s="287"/>
      <c r="P48" s="664"/>
      <c r="Q48" s="287"/>
      <c r="R48" s="287"/>
      <c r="S48" s="287"/>
    </row>
    <row r="49" spans="1:19">
      <c r="A49" s="744" t="s">
        <v>776</v>
      </c>
      <c r="B49" s="287"/>
      <c r="C49" s="212"/>
      <c r="D49" s="287"/>
      <c r="E49" s="287"/>
      <c r="F49" s="287"/>
      <c r="G49" s="287"/>
      <c r="H49" s="761"/>
      <c r="I49" s="287"/>
      <c r="J49" s="287"/>
      <c r="K49" s="780"/>
      <c r="L49" s="287"/>
      <c r="M49" s="287"/>
      <c r="N49" s="287"/>
      <c r="O49" s="287"/>
      <c r="P49" s="664"/>
      <c r="Q49" s="287"/>
      <c r="R49" s="287"/>
      <c r="S49" s="287"/>
    </row>
    <row r="50" spans="1:19">
      <c r="A50" s="664"/>
      <c r="B50" s="287"/>
      <c r="C50" s="212"/>
      <c r="D50" s="287"/>
      <c r="E50" s="287"/>
      <c r="F50" s="287"/>
      <c r="G50" s="287"/>
      <c r="H50" s="761"/>
      <c r="I50" s="287"/>
      <c r="J50" s="287"/>
      <c r="K50" s="780"/>
      <c r="L50" s="287"/>
      <c r="M50" s="287"/>
      <c r="N50" s="287"/>
      <c r="O50" s="287"/>
      <c r="P50" s="664"/>
      <c r="Q50" s="287"/>
      <c r="R50" s="287"/>
      <c r="S50" s="287"/>
    </row>
    <row r="51" spans="1:19">
      <c r="A51" s="664"/>
      <c r="B51" s="287"/>
      <c r="C51" s="212"/>
      <c r="D51" s="287"/>
      <c r="E51" s="287"/>
      <c r="F51" s="287"/>
      <c r="G51" s="287"/>
      <c r="H51" s="761"/>
      <c r="I51" s="287"/>
      <c r="J51" s="287"/>
      <c r="K51" s="780"/>
      <c r="L51" s="287"/>
      <c r="M51" s="287"/>
      <c r="N51" s="287"/>
      <c r="O51" s="287"/>
      <c r="P51" s="664"/>
      <c r="Q51" s="287"/>
      <c r="R51" s="287"/>
      <c r="S51" s="287"/>
    </row>
    <row r="52" spans="1:19">
      <c r="A52" s="808"/>
      <c r="B52" s="287"/>
      <c r="C52" s="212"/>
      <c r="D52" s="287"/>
      <c r="E52" s="287"/>
      <c r="F52" s="287"/>
      <c r="G52" s="287"/>
      <c r="H52" s="761"/>
      <c r="I52" s="287"/>
      <c r="J52" s="287"/>
      <c r="K52" s="780"/>
      <c r="L52" s="287"/>
      <c r="M52" s="287"/>
      <c r="N52" s="287"/>
      <c r="O52" s="287"/>
      <c r="P52" s="664"/>
      <c r="Q52" s="287"/>
      <c r="R52" s="287"/>
      <c r="S52" s="287"/>
    </row>
    <row r="55" spans="1:19" s="287" customFormat="1">
      <c r="A55" s="1326"/>
      <c r="B55" s="809"/>
      <c r="C55" s="1328"/>
      <c r="D55" s="1328"/>
      <c r="E55" s="1329"/>
      <c r="F55" s="1329"/>
      <c r="G55" s="1329"/>
      <c r="H55" s="1329"/>
      <c r="I55" s="1329"/>
      <c r="J55" s="1329"/>
      <c r="K55" s="1329"/>
      <c r="L55" s="1329"/>
      <c r="P55" s="664"/>
    </row>
    <row r="56" spans="1:19" s="287" customFormat="1">
      <c r="A56" s="1327"/>
      <c r="B56" s="810"/>
      <c r="C56" s="1328"/>
      <c r="D56" s="1328"/>
      <c r="E56" s="1329"/>
      <c r="F56" s="1329"/>
      <c r="G56" s="1329"/>
      <c r="H56" s="1329"/>
      <c r="I56" s="1329"/>
      <c r="J56" s="1329"/>
      <c r="K56" s="1329"/>
      <c r="L56" s="1329"/>
      <c r="P56" s="664"/>
    </row>
  </sheetData>
  <mergeCells count="16">
    <mergeCell ref="A2:E2"/>
    <mergeCell ref="F2:R2"/>
    <mergeCell ref="A55:A56"/>
    <mergeCell ref="C55:D55"/>
    <mergeCell ref="E55:L56"/>
    <mergeCell ref="C56:D56"/>
    <mergeCell ref="A1:R1"/>
    <mergeCell ref="A30:A40"/>
    <mergeCell ref="I35:L35"/>
    <mergeCell ref="B36:B40"/>
    <mergeCell ref="B30:B34"/>
    <mergeCell ref="U2:V2"/>
    <mergeCell ref="A8:H8"/>
    <mergeCell ref="A9:A29"/>
    <mergeCell ref="B9:B29"/>
    <mergeCell ref="I12:L12"/>
  </mergeCells>
  <phoneticPr fontId="2" type="noConversion"/>
  <hyperlinks>
    <hyperlink ref="U2" location="MENU!A1" display="RETOUR MENU"/>
    <hyperlink ref="U2:V2" location="'M4'!A1" display="RETOUR MENU CHARGEMENTS"/>
  </hyperlinks>
  <pageMargins left="0.31" right="0.21" top="0.42" bottom="0.984251969" header="0.28000000000000003" footer="0.4921259845"/>
  <pageSetup paperSize="9"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6082" r:id="rId4" name="Drop Down 2">
              <controlPr defaultSize="0" autoLine="0" autoPict="0">
                <anchor moveWithCells="1">
                  <from>
                    <xdr:col>3</xdr:col>
                    <xdr:colOff>0</xdr:colOff>
                    <xdr:row>2</xdr:row>
                    <xdr:rowOff>0</xdr:rowOff>
                  </from>
                  <to>
                    <xdr:col>6</xdr:col>
                    <xdr:colOff>276045</xdr:colOff>
                    <xdr:row>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58</vt:i4>
      </vt:variant>
      <vt:variant>
        <vt:lpstr>Plages nommées</vt:lpstr>
      </vt:variant>
      <vt:variant>
        <vt:i4>8</vt:i4>
      </vt:variant>
    </vt:vector>
  </HeadingPairs>
  <TitlesOfParts>
    <vt:vector size="66" baseType="lpstr">
      <vt:lpstr>MP</vt:lpstr>
      <vt:lpstr>M1</vt:lpstr>
      <vt:lpstr>M2</vt:lpstr>
      <vt:lpstr>M3</vt:lpstr>
      <vt:lpstr>M4</vt:lpstr>
      <vt:lpstr>BOIS</vt:lpstr>
      <vt:lpstr>4-1</vt:lpstr>
      <vt:lpstr>4-2</vt:lpstr>
      <vt:lpstr>4-3</vt:lpstr>
      <vt:lpstr>4-4</vt:lpstr>
      <vt:lpstr>4-5</vt:lpstr>
      <vt:lpstr>4-6</vt:lpstr>
      <vt:lpstr>4-7</vt:lpstr>
      <vt:lpstr>0</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35a</vt:lpstr>
      <vt:lpstr>35</vt:lpstr>
      <vt:lpstr>36</vt:lpstr>
      <vt:lpstr>36a</vt:lpstr>
      <vt:lpstr>37</vt:lpstr>
      <vt:lpstr>38</vt:lpstr>
      <vt:lpstr>39</vt:lpstr>
      <vt:lpstr>40</vt:lpstr>
      <vt:lpstr>41</vt:lpstr>
      <vt:lpstr>Planchers composés</vt:lpstr>
      <vt:lpstr>'0'!OLE_LINK5</vt:lpstr>
      <vt:lpstr>'4-1'!Zone_d_impression</vt:lpstr>
      <vt:lpstr>'4-2'!Zone_d_impression</vt:lpstr>
      <vt:lpstr>'4-3'!Zone_d_impression</vt:lpstr>
      <vt:lpstr>'4-4'!Zone_d_impression</vt:lpstr>
      <vt:lpstr>'4-5'!Zone_d_impression</vt:lpstr>
      <vt:lpstr>'4-6'!Zone_d_impression</vt:lpstr>
      <vt:lpstr>'4-7'!Zone_d_impression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TASTET</dc:creator>
  <cp:lastModifiedBy>dj_sp4m</cp:lastModifiedBy>
  <cp:lastPrinted>2009-01-18T15:47:50Z</cp:lastPrinted>
  <dcterms:created xsi:type="dcterms:W3CDTF">2004-04-21T05:26:45Z</dcterms:created>
  <dcterms:modified xsi:type="dcterms:W3CDTF">2013-02-19T13:01:17Z</dcterms:modified>
</cp:coreProperties>
</file>